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240" tabRatio="900" activeTab="0"/>
  </bookViews>
  <sheets>
    <sheet name="plafon dec" sheetId="1" r:id="rId1"/>
  </sheets>
  <definedNames/>
  <calcPr fullCalcOnLoad="1"/>
</workbook>
</file>

<file path=xl/sharedStrings.xml><?xml version="1.0" encoding="utf-8"?>
<sst xmlns="http://schemas.openxmlformats.org/spreadsheetml/2006/main" count="250" uniqueCount="154">
  <si>
    <t>ALEXE GHERGHINA</t>
  </si>
  <si>
    <t>ANDONE CRISTINA-LUIZA</t>
  </si>
  <si>
    <t>BARLADEANU ELENA</t>
  </si>
  <si>
    <t>BOAZU TEODOR GEORGE</t>
  </si>
  <si>
    <t>CROITORU CRISTEA-AUREL</t>
  </si>
  <si>
    <t>DANESCU RUXANDRA</t>
  </si>
  <si>
    <t>DRAGOMIR DOMNICA</t>
  </si>
  <si>
    <t>DUMBRAVEANU IULIANA-DENIS</t>
  </si>
  <si>
    <t>GHERGHISAN-FILIP MIRELA-VASILICA</t>
  </si>
  <si>
    <t>GOGONET MIRELA</t>
  </si>
  <si>
    <t>HARNAGEA GHEORGHE-LIVIU</t>
  </si>
  <si>
    <t>VIZITIU DAMIAN</t>
  </si>
  <si>
    <t>VIZITIU ZIZI</t>
  </si>
  <si>
    <t>NUME/PRENUME</t>
  </si>
  <si>
    <t>CHIRIAC MARGARETA</t>
  </si>
  <si>
    <t>DIMITRIU DANIELA</t>
  </si>
  <si>
    <t>ACHIMESCU ANETA-MARIANA(SC Akydent SRL)</t>
  </si>
  <si>
    <t>CROITORU CRISTEA CARMEN</t>
  </si>
  <si>
    <t>BOAZU LOREDANA ECATERINA</t>
  </si>
  <si>
    <t>GEORGESCU LIGIA ANA MARIA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</si>
  <si>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</si>
  <si>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</si>
  <si>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</si>
  <si>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</si>
  <si>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</si>
  <si>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</si>
  <si>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</si>
  <si>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BARLADEANU VASILE</t>
  </si>
  <si>
    <t>plafon ianuarie</t>
  </si>
  <si>
    <t>plafon februarie</t>
  </si>
  <si>
    <t>plafon martie</t>
  </si>
  <si>
    <t>plafon trim.1</t>
  </si>
  <si>
    <t>plata trim.1</t>
  </si>
  <si>
    <t>REPORT 1</t>
  </si>
  <si>
    <t>plata</t>
  </si>
  <si>
    <t>plafon trim.2</t>
  </si>
  <si>
    <t>plata trim.2</t>
  </si>
  <si>
    <t>plafon trim.3</t>
  </si>
  <si>
    <t>plata trim.3</t>
  </si>
  <si>
    <t>plata iunie</t>
  </si>
  <si>
    <t>plata iulie</t>
  </si>
  <si>
    <t>plata august</t>
  </si>
  <si>
    <t>plata septembrie</t>
  </si>
  <si>
    <t>BERECHET CORINA</t>
  </si>
  <si>
    <t>BUDEI LILIANA CATALINA</t>
  </si>
  <si>
    <t>SUSANU CLAUDIU</t>
  </si>
  <si>
    <t>HULEA GEORGETA</t>
  </si>
  <si>
    <t>IANCU MARIANA</t>
  </si>
  <si>
    <t>IONITA DAN</t>
  </si>
  <si>
    <t>LACATUS ALINA-MIHAELA</t>
  </si>
  <si>
    <t>LEATA RAZVAN</t>
  </si>
  <si>
    <t>LEIBOVICI RADU ANDY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</si>
  <si>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</si>
  <si>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</si>
  <si>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</si>
  <si>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</si>
  <si>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</si>
  <si>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</si>
  <si>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</si>
  <si>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MOLDOVEANU TINCA</t>
  </si>
  <si>
    <t>MORARU PAUL EMIL</t>
  </si>
  <si>
    <t>MURARIU VERONICA</t>
  </si>
  <si>
    <t>MUNTEANU MANUELA ALINA</t>
  </si>
  <si>
    <t>NECHITA ADRIAN</t>
  </si>
  <si>
    <t>PETRACHE IONELA</t>
  </si>
  <si>
    <t>PETRASCU LIVIA</t>
  </si>
  <si>
    <t>POPA ALEXANDRA CARMEN</t>
  </si>
  <si>
    <t>RADU ROMEO</t>
  </si>
  <si>
    <t>REVES CAROL</t>
  </si>
  <si>
    <t>SINCAR DORINA-CERASELLA</t>
  </si>
  <si>
    <t>VASILIU VENERA-ELENA</t>
  </si>
  <si>
    <t>VLAD DANIELA SIMONA</t>
  </si>
  <si>
    <t>plata aprilie</t>
  </si>
  <si>
    <t>plafon mai</t>
  </si>
  <si>
    <t>plafon iunie</t>
  </si>
  <si>
    <t>plafon iulie</t>
  </si>
  <si>
    <t>plafon august</t>
  </si>
  <si>
    <t>plafon sept</t>
  </si>
  <si>
    <t>plafon nov.</t>
  </si>
  <si>
    <t>plata nov.</t>
  </si>
  <si>
    <t>plafon dec.</t>
  </si>
  <si>
    <t>REPORT 2</t>
  </si>
  <si>
    <t>REPORT 3</t>
  </si>
  <si>
    <t>ACHIMESCU BOGDAN MIRCEA (SC Akydent SRL)</t>
  </si>
  <si>
    <t>POPA SERBAN (SC ESTETA SRL)</t>
  </si>
  <si>
    <t>POPA MARIA (SC ESTETA SRL)</t>
  </si>
  <si>
    <t xml:space="preserve">plata </t>
  </si>
  <si>
    <t>BOGEAN ARABELA-LORELEY</t>
  </si>
  <si>
    <t>PANAITE GEORGE</t>
  </si>
  <si>
    <t>TEODORU CRISTIAN</t>
  </si>
  <si>
    <t>JUGRAVU LUCHINCIUC ANDREEA (SC BIDENTAL SRL)</t>
  </si>
  <si>
    <t>MIRON ADRIAN IONUT</t>
  </si>
  <si>
    <t>MIHALUTA FLORIN (SC DOCTOR MIHALUTA SRL)</t>
  </si>
  <si>
    <t>BOROS LOREDANA</t>
  </si>
  <si>
    <t>CRETU LUCIAN</t>
  </si>
  <si>
    <t>SPITALUL DE PEDIATRIE (dr. MATEI MADALINA)</t>
  </si>
  <si>
    <t>LUNGU DOMNICA CRENGUTA</t>
  </si>
  <si>
    <t>suplimentare august</t>
  </si>
  <si>
    <t>total plafon august</t>
  </si>
  <si>
    <t>nerealizat oct</t>
  </si>
  <si>
    <t>nerealizat nov.</t>
  </si>
  <si>
    <t>MOROIANU MARIUS</t>
  </si>
  <si>
    <t>SBARNEA TANTA</t>
  </si>
  <si>
    <t>TOPORAS CLAUDIA</t>
  </si>
  <si>
    <t>HUSSEIN-SALVADOR CARMEN MIHAELA</t>
  </si>
  <si>
    <t>MREJERU LOREDANA</t>
  </si>
  <si>
    <t>CHIFOR EMILIAN (SC STRUNGAREATA SRL)</t>
  </si>
  <si>
    <t>MOISEI MIHAELA (SC ULTRADENT SRL)</t>
  </si>
  <si>
    <t>LUNGU AURELIA (SC RICAUDENT EXPERT SRL)</t>
  </si>
  <si>
    <t>GIRNEATA ALIN (SC GA DENT ALIN SRL)</t>
  </si>
  <si>
    <t>supl.nerealizat nov.</t>
  </si>
  <si>
    <t>ENACHE MARIA (SC ULTRADENT SRL)</t>
  </si>
  <si>
    <t>RARINCA BIRSAN MONICA</t>
  </si>
  <si>
    <t>RADUCAN MARIUS</t>
  </si>
  <si>
    <t>MERA NICOLETA</t>
  </si>
  <si>
    <t xml:space="preserve">HILOHI GABRIELA (HG BEAUTY SMILE DENT SRL) </t>
  </si>
  <si>
    <t xml:space="preserve">BATIR MARIN ALEXANDRU (SC DENTABENE MEDICAL SRL) </t>
  </si>
  <si>
    <t xml:space="preserve">DIACONU ANDREEA (AD BIODENTIS SRL) </t>
  </si>
  <si>
    <t xml:space="preserve">TRANDAFIR ALEXANDRU (TRANDENTO ART SRL) </t>
  </si>
  <si>
    <t>VRANCEANU COSTEL ( TRANDENTO ART SRL)</t>
  </si>
  <si>
    <t xml:space="preserve">MEHEDINTI ROXANA </t>
  </si>
  <si>
    <t>DINU GICUTA (SC DINU SMARTDENT SRL)</t>
  </si>
  <si>
    <t xml:space="preserve">ENACHE DOINA (SC DOCTOR MIHALUTA SRL) </t>
  </si>
  <si>
    <t>SPITALUL DE PEDIATRIE (dr. GUINET MIRON FLORENTINA)</t>
  </si>
  <si>
    <t>SPITALUL DE PEDIATRIE (dr. STOICA GEORGE)</t>
  </si>
  <si>
    <t>PLATA MAI</t>
  </si>
  <si>
    <t xml:space="preserve">TRANDAFIR IONELA ANA (TRANDENTO ART SRL) </t>
  </si>
  <si>
    <t>DOCAN MIHAELA OANA (angaj.DR.Mehedinti Roxana)</t>
  </si>
  <si>
    <t>CHIRIC MONICA MIHAELA (angaj.dr Dimitriu)</t>
  </si>
  <si>
    <t>suplimentare din nerealizat oct</t>
  </si>
  <si>
    <t>total noiembrie plafon</t>
  </si>
  <si>
    <t>BALABAN DANIELA(SC FAMILY DENT SRL)</t>
  </si>
  <si>
    <t>MOtoc ELENA</t>
  </si>
  <si>
    <t>CARP MARTA ELENA (sc martadent srl)</t>
  </si>
  <si>
    <t>plafon aprilie</t>
  </si>
  <si>
    <t>MOROIANU MARIUS (SC Morodent  Optimum SRL)</t>
  </si>
  <si>
    <t>suplimentare mai</t>
  </si>
  <si>
    <t>total plafon mai</t>
  </si>
  <si>
    <t>DUMITRASCU (SC ULTRADENT SRL)</t>
  </si>
  <si>
    <t>DOCAN MIHAELA OANA (SC ROXIOANA SRL)</t>
  </si>
  <si>
    <t>BRANZA CRISTIAN (SC AKYDENT SRL)</t>
  </si>
  <si>
    <t>IORDACHE LARISA (SC GA DENT ALIN SRL)</t>
  </si>
  <si>
    <t>CLATICI MONICA</t>
  </si>
  <si>
    <t>STRESINA OANA SINZIANA</t>
  </si>
  <si>
    <t>supl dr clatici</t>
  </si>
  <si>
    <t>supl nerealizat trim. III</t>
  </si>
  <si>
    <t>plafon oct INITIAL</t>
  </si>
  <si>
    <t>plafon oct FINAL</t>
  </si>
  <si>
    <t>PLATA OCTOMBRIE</t>
  </si>
  <si>
    <t>supl dr lungu</t>
  </si>
  <si>
    <t>supl dr.docan</t>
  </si>
  <si>
    <t xml:space="preserve"> PLAFON DEC.</t>
  </si>
  <si>
    <t>intocmit,</t>
  </si>
  <si>
    <t>ec. POPESCU E.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</si>
</sst>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\ #,##0;&quot; &quot;\ \-#,##0"/>
    <numFmt numFmtId="175" formatCode="&quot; &quot;\ #,##0;[Red]&quot; &quot;\ \-#,##0"/>
    <numFmt numFmtId="176" formatCode="&quot; &quot;\ #,##0.00;&quot; &quot;\ \-#,##0.00"/>
    <numFmt numFmtId="177" formatCode="&quot; &quot;\ #,##0.00;[Red]&quot; &quot;\ \-#,##0.00"/>
    <numFmt numFmtId="178" formatCode="_ &quot; &quot;\ * #,##0_ ;_ &quot; &quot;\ * \-#,##0_ ;_ &quot; &quot;\ * &quot;-&quot;_ ;_ @_ "/>
    <numFmt numFmtId="179" formatCode="_ * #,##0_ ;_ * \-#,##0_ ;_ * &quot;-&quot;_ ;_ @_ "/>
    <numFmt numFmtId="180" formatCode="_ &quot; &quot;\ * #,##0.00_ ;_ &quot; &quot;\ * \-#,##0.00_ ;_ &quot; &quot;\ 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18]d\ mmmm\ yyyy"/>
    <numFmt numFmtId="186" formatCode="[$-418]d\-mmm\-yy;@"/>
    <numFmt numFmtId="187" formatCode="mmm/yyyy"/>
    <numFmt numFmtId="188" formatCode="0.0000"/>
    <numFmt numFmtId="189" formatCode="[$-F800]dddd\,\ mmmm\ dd\,\ yyyy"/>
    <numFmt numFmtId="190" formatCode="#,##0.000"/>
    <numFmt numFmtId="191" formatCode="00000"/>
    <numFmt numFmtId="192" formatCode="dd/mm/yy;@"/>
    <numFmt numFmtId="193" formatCode="#,##0.00000"/>
    <numFmt numFmtId="194" formatCode="#,##0.0000"/>
    <numFmt numFmtId="195" formatCode="000\-00\-0000"/>
    <numFmt numFmtId="196" formatCode="#,##0.00;[Red]#,##0.00"/>
    <numFmt numFmtId="197" formatCode="[$-409]dddd\,\ mmmm\ dd\,\ yyyy"/>
    <numFmt numFmtId="198" formatCode="[$-409]h:mm:ss\ AM/PM"/>
    <numFmt numFmtId="199" formatCode="#,##0.0000000000"/>
    <numFmt numFmtId="200" formatCode="#,##0.0000000000000"/>
    <numFmt numFmtId="201" formatCode="#,##0.00000000"/>
    <numFmt numFmtId="202" formatCode="#,##0.000000000"/>
    <numFmt numFmtId="203" formatCode="#,##0.00\ &quot;lei&quot;"/>
    <numFmt numFmtId="204" formatCode="#,##0.00\ _l_e_i"/>
    <numFmt numFmtId="205" formatCode="[$€-2]\ #,##0.00_);[Red]\([$€-2]\ #,##0.00\)"/>
    <numFmt numFmtId="206" formatCode="[$-F400]h:mm:ss\ AM/PM"/>
    <numFmt numFmtId="207" formatCode="#,##0.000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57" applyNumberFormat="1" applyFont="1" applyFill="1" applyBorder="1" applyAlignment="1">
      <alignment horizontal="right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7" fillId="33" borderId="11" xfId="57" applyFont="1" applyFill="1" applyBorder="1">
      <alignment/>
      <protection/>
    </xf>
    <xf numFmtId="0" fontId="4" fillId="33" borderId="11" xfId="57" applyFont="1" applyFill="1" applyBorder="1">
      <alignment/>
      <protection/>
    </xf>
    <xf numFmtId="0" fontId="4" fillId="33" borderId="10" xfId="57" applyFont="1" applyFill="1" applyBorder="1">
      <alignment/>
      <protection/>
    </xf>
    <xf numFmtId="49" fontId="4" fillId="33" borderId="11" xfId="0" applyNumberFormat="1" applyFont="1" applyFill="1" applyBorder="1" applyAlignment="1">
      <alignment wrapText="1"/>
    </xf>
    <xf numFmtId="0" fontId="4" fillId="33" borderId="11" xfId="57" applyFont="1" applyFill="1" applyBorder="1">
      <alignment/>
      <protection/>
    </xf>
    <xf numFmtId="4" fontId="4" fillId="33" borderId="12" xfId="57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12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8" fillId="33" borderId="10" xfId="57" applyNumberFormat="1" applyFont="1" applyFill="1" applyBorder="1" applyAlignment="1">
      <alignment horizontal="right"/>
      <protection/>
    </xf>
    <xf numFmtId="4" fontId="8" fillId="33" borderId="13" xfId="57" applyNumberFormat="1" applyFont="1" applyFill="1" applyBorder="1" applyAlignment="1">
      <alignment horizontal="right"/>
      <protection/>
    </xf>
    <xf numFmtId="4" fontId="4" fillId="33" borderId="13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" fillId="33" borderId="11" xfId="57" applyNumberFormat="1" applyFont="1" applyFill="1" applyBorder="1" applyAlignment="1">
      <alignment horizontal="right"/>
      <protection/>
    </xf>
    <xf numFmtId="4" fontId="3" fillId="33" borderId="11" xfId="57" applyNumberFormat="1" applyFont="1" applyFill="1" applyBorder="1" applyAlignment="1">
      <alignment horizontal="right"/>
      <protection/>
    </xf>
    <xf numFmtId="4" fontId="9" fillId="33" borderId="12" xfId="57" applyNumberFormat="1" applyFont="1" applyFill="1" applyBorder="1" applyAlignment="1">
      <alignment horizontal="right"/>
      <protection/>
    </xf>
    <xf numFmtId="4" fontId="4" fillId="33" borderId="12" xfId="57" applyNumberFormat="1" applyFont="1" applyFill="1" applyBorder="1" applyAlignment="1">
      <alignment horizontal="right"/>
      <protection/>
    </xf>
    <xf numFmtId="4" fontId="3" fillId="33" borderId="12" xfId="57" applyNumberFormat="1" applyFont="1" applyFill="1" applyBorder="1" applyAlignment="1">
      <alignment horizontal="right"/>
      <protection/>
    </xf>
    <xf numFmtId="0" fontId="7" fillId="33" borderId="11" xfId="0" applyFont="1" applyFill="1" applyBorder="1" applyAlignment="1">
      <alignment/>
    </xf>
    <xf numFmtId="0" fontId="7" fillId="33" borderId="11" xfId="57" applyFont="1" applyFill="1" applyBorder="1">
      <alignment/>
      <protection/>
    </xf>
    <xf numFmtId="4" fontId="4" fillId="33" borderId="13" xfId="0" applyNumberFormat="1" applyFont="1" applyFill="1" applyBorder="1" applyAlignment="1">
      <alignment/>
    </xf>
    <xf numFmtId="4" fontId="4" fillId="33" borderId="10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 applyAlignment="1">
      <alignment horizontal="right"/>
      <protection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5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17" fontId="7" fillId="33" borderId="14" xfId="0" applyNumberFormat="1" applyFont="1" applyFill="1" applyBorder="1" applyAlignment="1">
      <alignment horizontal="center" vertical="center" wrapText="1"/>
    </xf>
    <xf numFmtId="17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" fontId="5" fillId="33" borderId="14" xfId="0" applyNumberFormat="1" applyFont="1" applyFill="1" applyBorder="1" applyAlignment="1">
      <alignment horizontal="center" vertical="center" wrapText="1"/>
    </xf>
    <xf numFmtId="17" fontId="5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ontare stomatologie  an 20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AX108"/>
  <sheetViews>
    <sheetView tabSelected="1" zoomScalePageLayoutView="0" workbookViewId="0" topLeftCell="A1">
      <pane xSplit="3" ySplit="5" topLeftCell="AH8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B118" sqref="BB118"/>
    </sheetView>
  </sheetViews>
  <sheetFormatPr defaultColWidth="9.140625" defaultRowHeight="12.75"/>
  <cols>
    <col min="1" max="1" width="5.28125" style="11" customWidth="1"/>
    <col min="2" max="2" width="48.140625" style="12" customWidth="1"/>
    <col min="3" max="3" width="11.00390625" style="12" customWidth="1"/>
    <col min="4" max="4" width="9.421875" style="14" hidden="1" customWidth="1"/>
    <col min="5" max="5" width="9.7109375" style="11" hidden="1" customWidth="1"/>
    <col min="6" max="6" width="9.57421875" style="29" hidden="1" customWidth="1"/>
    <col min="7" max="7" width="9.421875" style="30" hidden="1" customWidth="1"/>
    <col min="8" max="8" width="10.140625" style="31" hidden="1" customWidth="1"/>
    <col min="9" max="9" width="10.00390625" style="32" hidden="1" customWidth="1"/>
    <col min="10" max="10" width="10.00390625" style="22" hidden="1" customWidth="1"/>
    <col min="11" max="11" width="9.8515625" style="11" hidden="1" customWidth="1"/>
    <col min="12" max="12" width="9.00390625" style="35" hidden="1" customWidth="1"/>
    <col min="13" max="13" width="10.00390625" style="12" hidden="1" customWidth="1"/>
    <col min="14" max="14" width="9.57421875" style="12" hidden="1" customWidth="1"/>
    <col min="15" max="16" width="9.7109375" style="14" hidden="1" customWidth="1"/>
    <col min="17" max="17" width="10.421875" style="14" hidden="1" customWidth="1"/>
    <col min="18" max="18" width="10.140625" style="12" hidden="1" customWidth="1"/>
    <col min="19" max="19" width="9.140625" style="14" hidden="1" customWidth="1"/>
    <col min="20" max="20" width="9.57421875" style="12" hidden="1" customWidth="1"/>
    <col min="21" max="22" width="9.57421875" style="30" hidden="1" customWidth="1"/>
    <col min="23" max="23" width="10.00390625" style="33" hidden="1" customWidth="1"/>
    <col min="24" max="24" width="10.140625" style="14" hidden="1" customWidth="1"/>
    <col min="25" max="25" width="10.140625" style="12" hidden="1" customWidth="1"/>
    <col min="26" max="26" width="10.00390625" style="14" hidden="1" customWidth="1"/>
    <col min="27" max="27" width="9.421875" style="34" hidden="1" customWidth="1"/>
    <col min="28" max="28" width="10.00390625" style="14" hidden="1" customWidth="1"/>
    <col min="29" max="29" width="9.421875" style="12" hidden="1" customWidth="1"/>
    <col min="30" max="30" width="9.7109375" style="14" hidden="1" customWidth="1"/>
    <col min="31" max="31" width="9.8515625" style="12" hidden="1" customWidth="1"/>
    <col min="32" max="32" width="10.140625" style="30" hidden="1" customWidth="1"/>
    <col min="33" max="33" width="10.28125" style="12" hidden="1" customWidth="1"/>
    <col min="34" max="34" width="9.421875" style="33" hidden="1" customWidth="1"/>
    <col min="35" max="37" width="10.421875" style="14" hidden="1" customWidth="1"/>
    <col min="38" max="38" width="10.57421875" style="12" hidden="1" customWidth="1"/>
    <col min="39" max="39" width="10.7109375" style="12" hidden="1" customWidth="1"/>
    <col min="40" max="40" width="9.8515625" style="13" hidden="1" customWidth="1"/>
    <col min="41" max="41" width="9.7109375" style="14" hidden="1" customWidth="1"/>
    <col min="42" max="43" width="10.140625" style="36" hidden="1" customWidth="1"/>
    <col min="44" max="44" width="10.140625" style="14" hidden="1" customWidth="1"/>
    <col min="45" max="45" width="9.57421875" style="12" hidden="1" customWidth="1"/>
    <col min="46" max="46" width="9.421875" style="13" hidden="1" customWidth="1"/>
    <col min="47" max="48" width="9.28125" style="14" hidden="1" customWidth="1"/>
    <col min="49" max="49" width="8.57421875" style="14" hidden="1" customWidth="1"/>
    <col min="50" max="50" width="14.8515625" style="14" customWidth="1"/>
    <col min="51" max="16384" width="9.140625" style="11" customWidth="1"/>
  </cols>
  <sheetData>
    <row r="3" ht="12" thickBot="1"/>
    <row r="4" spans="1:50" s="15" customFormat="1" ht="18.75" customHeight="1">
      <c r="A4" s="84" t="s">
        <v>25</v>
      </c>
      <c r="B4" s="86" t="s">
        <v>13</v>
      </c>
      <c r="C4" s="86" t="s">
        <v>24</v>
      </c>
      <c r="D4" s="88" t="s">
        <v>28</v>
      </c>
      <c r="E4" s="90" t="s">
        <v>86</v>
      </c>
      <c r="F4" s="92" t="s">
        <v>29</v>
      </c>
      <c r="G4" s="78" t="s">
        <v>34</v>
      </c>
      <c r="H4" s="60" t="s">
        <v>30</v>
      </c>
      <c r="I4" s="62" t="s">
        <v>34</v>
      </c>
      <c r="J4" s="80" t="s">
        <v>31</v>
      </c>
      <c r="K4" s="80" t="s">
        <v>32</v>
      </c>
      <c r="L4" s="82" t="s">
        <v>33</v>
      </c>
      <c r="M4" s="60" t="s">
        <v>134</v>
      </c>
      <c r="N4" s="62" t="s">
        <v>72</v>
      </c>
      <c r="O4" s="60" t="s">
        <v>73</v>
      </c>
      <c r="P4" s="60" t="s">
        <v>136</v>
      </c>
      <c r="Q4" s="60" t="s">
        <v>137</v>
      </c>
      <c r="R4" s="62" t="s">
        <v>125</v>
      </c>
      <c r="S4" s="60" t="s">
        <v>74</v>
      </c>
      <c r="T4" s="62" t="s">
        <v>39</v>
      </c>
      <c r="U4" s="62" t="s">
        <v>35</v>
      </c>
      <c r="V4" s="62" t="s">
        <v>36</v>
      </c>
      <c r="W4" s="74" t="s">
        <v>81</v>
      </c>
      <c r="X4" s="60" t="s">
        <v>75</v>
      </c>
      <c r="Y4" s="62" t="s">
        <v>40</v>
      </c>
      <c r="Z4" s="60" t="s">
        <v>76</v>
      </c>
      <c r="AA4" s="76" t="s">
        <v>97</v>
      </c>
      <c r="AB4" s="60" t="s">
        <v>98</v>
      </c>
      <c r="AC4" s="62" t="s">
        <v>41</v>
      </c>
      <c r="AD4" s="60" t="s">
        <v>77</v>
      </c>
      <c r="AE4" s="62" t="s">
        <v>42</v>
      </c>
      <c r="AF4" s="62" t="s">
        <v>37</v>
      </c>
      <c r="AG4" s="62" t="s">
        <v>38</v>
      </c>
      <c r="AH4" s="74" t="s">
        <v>82</v>
      </c>
      <c r="AI4" s="60" t="s">
        <v>146</v>
      </c>
      <c r="AJ4" s="60" t="s">
        <v>144</v>
      </c>
      <c r="AK4" s="60" t="s">
        <v>145</v>
      </c>
      <c r="AL4" s="60" t="s">
        <v>147</v>
      </c>
      <c r="AM4" s="60" t="s">
        <v>148</v>
      </c>
      <c r="AN4" s="66" t="s">
        <v>99</v>
      </c>
      <c r="AO4" s="60" t="s">
        <v>78</v>
      </c>
      <c r="AP4" s="72" t="s">
        <v>149</v>
      </c>
      <c r="AQ4" s="64" t="s">
        <v>129</v>
      </c>
      <c r="AR4" s="60" t="s">
        <v>130</v>
      </c>
      <c r="AS4" s="62" t="s">
        <v>79</v>
      </c>
      <c r="AT4" s="66" t="s">
        <v>100</v>
      </c>
      <c r="AU4" s="60" t="s">
        <v>80</v>
      </c>
      <c r="AV4" s="70" t="s">
        <v>150</v>
      </c>
      <c r="AW4" s="68" t="s">
        <v>110</v>
      </c>
      <c r="AX4" s="60" t="s">
        <v>151</v>
      </c>
    </row>
    <row r="5" spans="1:50" s="15" customFormat="1" ht="36" customHeight="1" thickBot="1">
      <c r="A5" s="85"/>
      <c r="B5" s="87"/>
      <c r="C5" s="87"/>
      <c r="D5" s="89"/>
      <c r="E5" s="91"/>
      <c r="F5" s="93"/>
      <c r="G5" s="79"/>
      <c r="H5" s="61"/>
      <c r="I5" s="63"/>
      <c r="J5" s="81"/>
      <c r="K5" s="81"/>
      <c r="L5" s="83"/>
      <c r="M5" s="61"/>
      <c r="N5" s="63"/>
      <c r="O5" s="61"/>
      <c r="P5" s="61"/>
      <c r="Q5" s="61"/>
      <c r="R5" s="63"/>
      <c r="S5" s="61"/>
      <c r="T5" s="63"/>
      <c r="U5" s="63"/>
      <c r="V5" s="63"/>
      <c r="W5" s="75"/>
      <c r="X5" s="61"/>
      <c r="Y5" s="63"/>
      <c r="Z5" s="61"/>
      <c r="AA5" s="77"/>
      <c r="AB5" s="61"/>
      <c r="AC5" s="63"/>
      <c r="AD5" s="61"/>
      <c r="AE5" s="63"/>
      <c r="AF5" s="63"/>
      <c r="AG5" s="63"/>
      <c r="AH5" s="75"/>
      <c r="AI5" s="61"/>
      <c r="AJ5" s="61"/>
      <c r="AK5" s="61"/>
      <c r="AL5" s="61"/>
      <c r="AM5" s="61"/>
      <c r="AN5" s="67"/>
      <c r="AO5" s="61"/>
      <c r="AP5" s="73"/>
      <c r="AQ5" s="65"/>
      <c r="AR5" s="61"/>
      <c r="AS5" s="63"/>
      <c r="AT5" s="67"/>
      <c r="AU5" s="61"/>
      <c r="AV5" s="71"/>
      <c r="AW5" s="69"/>
      <c r="AX5" s="61"/>
    </row>
    <row r="6" spans="1:50" ht="11.25">
      <c r="A6" s="16">
        <v>1</v>
      </c>
      <c r="B6" s="17" t="s">
        <v>16</v>
      </c>
      <c r="C6" s="17" t="s">
        <v>20</v>
      </c>
      <c r="D6" s="8">
        <v>1875</v>
      </c>
      <c r="E6" s="9">
        <v>1832.8</v>
      </c>
      <c r="F6" s="8">
        <f>2000+22</f>
        <v>2022</v>
      </c>
      <c r="G6" s="9">
        <v>2022</v>
      </c>
      <c r="H6" s="8">
        <f>2030.98-22</f>
        <v>2008.98</v>
      </c>
      <c r="I6" s="1">
        <v>2046</v>
      </c>
      <c r="J6" s="5">
        <f>D6+F6+H6</f>
        <v>5905.98</v>
      </c>
      <c r="K6" s="6">
        <f>E6+G6+I6</f>
        <v>5900.8</v>
      </c>
      <c r="L6" s="37">
        <f>J6-K6</f>
        <v>5.1799999999993815</v>
      </c>
      <c r="M6" s="1">
        <f>2095+40.8</f>
        <v>2135.8</v>
      </c>
      <c r="N6" s="1">
        <v>2135.8</v>
      </c>
      <c r="O6" s="1">
        <v>2095</v>
      </c>
      <c r="P6" s="1">
        <v>179.5</v>
      </c>
      <c r="Q6" s="1">
        <f>O6+P6-40.8</f>
        <v>2233.7</v>
      </c>
      <c r="R6" s="9">
        <v>2142.6</v>
      </c>
      <c r="S6" s="9">
        <v>2126.2</v>
      </c>
      <c r="T6" s="1">
        <v>2202.2</v>
      </c>
      <c r="U6" s="38">
        <f>M6+Q6+S6</f>
        <v>6495.7</v>
      </c>
      <c r="V6" s="1">
        <f>N6+R6+T6</f>
        <v>6480.599999999999</v>
      </c>
      <c r="W6" s="37">
        <f>U6-V6</f>
        <v>15.100000000000364</v>
      </c>
      <c r="X6" s="9">
        <v>2000</v>
      </c>
      <c r="Y6" s="9">
        <v>1956.6</v>
      </c>
      <c r="Z6" s="9">
        <v>2087.1</v>
      </c>
      <c r="AA6" s="9">
        <v>222.9</v>
      </c>
      <c r="AB6" s="9">
        <f>Z6+AA6</f>
        <v>2310</v>
      </c>
      <c r="AC6" s="9">
        <v>2247.4</v>
      </c>
      <c r="AD6" s="9">
        <v>2087.1</v>
      </c>
      <c r="AE6" s="1">
        <v>2027.8</v>
      </c>
      <c r="AF6" s="38">
        <f>X6+AB6+AD6</f>
        <v>6397.1</v>
      </c>
      <c r="AG6" s="1">
        <f>Y6+AC6+AE6</f>
        <v>6231.8</v>
      </c>
      <c r="AH6" s="7">
        <f>AF6-AG6</f>
        <v>165.30000000000018</v>
      </c>
      <c r="AI6" s="9">
        <v>2087.1</v>
      </c>
      <c r="AJ6" s="9">
        <v>109</v>
      </c>
      <c r="AK6" s="9"/>
      <c r="AL6" s="1">
        <f>AI6+AJ6+AK6</f>
        <v>2196.1</v>
      </c>
      <c r="AM6" s="1">
        <v>2177.6</v>
      </c>
      <c r="AN6" s="39">
        <f>AL6-AM6</f>
        <v>18.5</v>
      </c>
      <c r="AO6" s="9">
        <v>2087.1</v>
      </c>
      <c r="AP6" s="8">
        <v>56</v>
      </c>
      <c r="AQ6" s="8">
        <v>256.4</v>
      </c>
      <c r="AR6" s="3">
        <f>AO6+AP6+AQ6</f>
        <v>2399.5</v>
      </c>
      <c r="AS6" s="1"/>
      <c r="AT6" s="9">
        <f>AR6-AS6</f>
        <v>2399.5</v>
      </c>
      <c r="AU6" s="9">
        <v>2087.1</v>
      </c>
      <c r="AV6" s="9">
        <v>37.5</v>
      </c>
      <c r="AW6" s="4"/>
      <c r="AX6" s="3">
        <f>AU6+AV6+AW6</f>
        <v>2124.6</v>
      </c>
    </row>
    <row r="7" spans="1:50" ht="11.25">
      <c r="A7" s="18">
        <v>2</v>
      </c>
      <c r="B7" s="19" t="s">
        <v>83</v>
      </c>
      <c r="C7" s="19" t="s">
        <v>21</v>
      </c>
      <c r="D7" s="8">
        <v>1500</v>
      </c>
      <c r="E7" s="9">
        <v>1496.8</v>
      </c>
      <c r="F7" s="8">
        <v>1600</v>
      </c>
      <c r="G7" s="9">
        <v>1547</v>
      </c>
      <c r="H7" s="8">
        <v>1624.79</v>
      </c>
      <c r="I7" s="1">
        <v>1679.4</v>
      </c>
      <c r="J7" s="5">
        <f aca="true" t="shared" si="0" ref="J7:K72">D7+F7+H7</f>
        <v>4724.79</v>
      </c>
      <c r="K7" s="6">
        <f t="shared" si="0"/>
        <v>4723.200000000001</v>
      </c>
      <c r="L7" s="37">
        <f aca="true" t="shared" si="1" ref="L7:L76">J7-K7</f>
        <v>1.589999999999236</v>
      </c>
      <c r="M7" s="1">
        <f>1676+18</f>
        <v>1694</v>
      </c>
      <c r="N7" s="1">
        <v>1694</v>
      </c>
      <c r="O7" s="1">
        <v>1676</v>
      </c>
      <c r="P7" s="1">
        <v>143.6</v>
      </c>
      <c r="Q7" s="1">
        <f>O7+P7-18</f>
        <v>1801.6</v>
      </c>
      <c r="R7" s="9">
        <v>1710.4</v>
      </c>
      <c r="S7" s="47">
        <v>1700.96</v>
      </c>
      <c r="T7" s="1">
        <v>1791.6</v>
      </c>
      <c r="U7" s="38">
        <f aca="true" t="shared" si="2" ref="U7:V75">M7+Q7+S7</f>
        <v>5196.5599999999995</v>
      </c>
      <c r="V7" s="1">
        <f t="shared" si="2"/>
        <v>5196</v>
      </c>
      <c r="W7" s="37">
        <f aca="true" t="shared" si="3" ref="W7:W74">U7-V7</f>
        <v>0.5599999999994907</v>
      </c>
      <c r="X7" s="47">
        <f>1600+174.4</f>
        <v>1774.4</v>
      </c>
      <c r="Y7" s="47">
        <v>1774.4</v>
      </c>
      <c r="Z7" s="9">
        <f>1669.68-174.4</f>
        <v>1495.28</v>
      </c>
      <c r="AA7" s="47">
        <v>177.6</v>
      </c>
      <c r="AB7" s="9">
        <f>Z7+AA7+149.12</f>
        <v>1822</v>
      </c>
      <c r="AC7" s="47">
        <v>1822</v>
      </c>
      <c r="AD7" s="9">
        <f>1669.68-149.12</f>
        <v>1520.56</v>
      </c>
      <c r="AE7" s="1">
        <v>1243.8</v>
      </c>
      <c r="AF7" s="38">
        <f aca="true" t="shared" si="4" ref="AF7:AG70">X7+AB7+AD7</f>
        <v>5116.96</v>
      </c>
      <c r="AG7" s="1">
        <f t="shared" si="4"/>
        <v>4840.2</v>
      </c>
      <c r="AH7" s="7">
        <f aca="true" t="shared" si="5" ref="AH7:AH70">AF7-AG7</f>
        <v>276.7600000000002</v>
      </c>
      <c r="AI7" s="9">
        <v>1669.68</v>
      </c>
      <c r="AJ7" s="9">
        <v>87.2</v>
      </c>
      <c r="AK7" s="9"/>
      <c r="AL7" s="1">
        <f aca="true" t="shared" si="6" ref="AL7:AL70">AI7+AJ7+AK7</f>
        <v>1756.88</v>
      </c>
      <c r="AM7" s="1">
        <v>1708.6</v>
      </c>
      <c r="AN7" s="9">
        <f aca="true" t="shared" si="7" ref="AN7:AN70">AL7-AM7</f>
        <v>48.2800000000002</v>
      </c>
      <c r="AO7" s="9">
        <v>1669.68</v>
      </c>
      <c r="AP7" s="8">
        <v>44.8</v>
      </c>
      <c r="AQ7" s="8"/>
      <c r="AR7" s="3">
        <f aca="true" t="shared" si="8" ref="AR7:AR70">AO7+AP7+AQ7</f>
        <v>1714.48</v>
      </c>
      <c r="AS7" s="2"/>
      <c r="AT7" s="9">
        <f aca="true" t="shared" si="9" ref="AT7:AT70">AR7-AS7</f>
        <v>1714.48</v>
      </c>
      <c r="AU7" s="9">
        <v>1669.68</v>
      </c>
      <c r="AV7" s="9">
        <v>30</v>
      </c>
      <c r="AW7" s="4"/>
      <c r="AX7" s="3">
        <f aca="true" t="shared" si="10" ref="AX7:AX70">AU7+AV7+AW7</f>
        <v>1699.68</v>
      </c>
    </row>
    <row r="8" spans="1:50" ht="11.25">
      <c r="A8" s="16">
        <v>3</v>
      </c>
      <c r="B8" s="19" t="s">
        <v>140</v>
      </c>
      <c r="C8" s="19" t="s">
        <v>21</v>
      </c>
      <c r="D8" s="8"/>
      <c r="E8" s="9"/>
      <c r="F8" s="8"/>
      <c r="G8" s="9"/>
      <c r="H8" s="8"/>
      <c r="I8" s="1"/>
      <c r="J8" s="5"/>
      <c r="K8" s="6"/>
      <c r="L8" s="37"/>
      <c r="M8" s="1"/>
      <c r="N8" s="1"/>
      <c r="O8" s="1"/>
      <c r="P8" s="1"/>
      <c r="Q8" s="1"/>
      <c r="R8" s="9"/>
      <c r="S8" s="9"/>
      <c r="T8" s="1"/>
      <c r="U8" s="38"/>
      <c r="V8" s="1"/>
      <c r="W8" s="37"/>
      <c r="X8" s="47"/>
      <c r="Y8" s="47"/>
      <c r="Z8" s="9">
        <v>1669.68</v>
      </c>
      <c r="AA8" s="47"/>
      <c r="AB8" s="9">
        <f>Z8+AA8+7.52</f>
        <v>1677.2</v>
      </c>
      <c r="AC8" s="47">
        <v>1677.2</v>
      </c>
      <c r="AD8" s="9">
        <f>1669.68-7.52</f>
        <v>1662.16</v>
      </c>
      <c r="AE8" s="1">
        <v>1606.4</v>
      </c>
      <c r="AF8" s="38">
        <f t="shared" si="4"/>
        <v>3339.36</v>
      </c>
      <c r="AG8" s="1">
        <f t="shared" si="4"/>
        <v>3283.6000000000004</v>
      </c>
      <c r="AH8" s="7">
        <f t="shared" si="5"/>
        <v>55.75999999999976</v>
      </c>
      <c r="AI8" s="9">
        <v>1669.68</v>
      </c>
      <c r="AJ8" s="9">
        <v>87.2</v>
      </c>
      <c r="AK8" s="9"/>
      <c r="AL8" s="1">
        <f t="shared" si="6"/>
        <v>1756.88</v>
      </c>
      <c r="AM8" s="1">
        <v>1754</v>
      </c>
      <c r="AN8" s="39">
        <f t="shared" si="7"/>
        <v>2.880000000000109</v>
      </c>
      <c r="AO8" s="9">
        <v>1669.68</v>
      </c>
      <c r="AP8" s="8">
        <v>44.8</v>
      </c>
      <c r="AQ8" s="8">
        <v>205.12</v>
      </c>
      <c r="AR8" s="3">
        <f t="shared" si="8"/>
        <v>1919.6</v>
      </c>
      <c r="AS8" s="2"/>
      <c r="AT8" s="9">
        <f t="shared" si="9"/>
        <v>1919.6</v>
      </c>
      <c r="AU8" s="9">
        <v>1669.68</v>
      </c>
      <c r="AV8" s="9">
        <v>30</v>
      </c>
      <c r="AW8" s="4"/>
      <c r="AX8" s="3">
        <f t="shared" si="10"/>
        <v>1699.68</v>
      </c>
    </row>
    <row r="9" spans="1:50" ht="11.25">
      <c r="A9" s="18">
        <v>4</v>
      </c>
      <c r="B9" s="19" t="s">
        <v>0</v>
      </c>
      <c r="C9" s="19" t="s">
        <v>20</v>
      </c>
      <c r="D9" s="8">
        <v>1875</v>
      </c>
      <c r="E9" s="9">
        <v>1844</v>
      </c>
      <c r="F9" s="8">
        <v>2000</v>
      </c>
      <c r="G9" s="9">
        <v>1803</v>
      </c>
      <c r="H9" s="8">
        <v>2030.98</v>
      </c>
      <c r="I9" s="1">
        <v>2225</v>
      </c>
      <c r="J9" s="5">
        <f t="shared" si="0"/>
        <v>5905.98</v>
      </c>
      <c r="K9" s="6">
        <f t="shared" si="0"/>
        <v>5872</v>
      </c>
      <c r="L9" s="37">
        <f t="shared" si="1"/>
        <v>33.97999999999956</v>
      </c>
      <c r="M9" s="1">
        <v>2095</v>
      </c>
      <c r="N9" s="1">
        <v>1828</v>
      </c>
      <c r="O9" s="1">
        <v>2095</v>
      </c>
      <c r="P9" s="1">
        <v>179.5</v>
      </c>
      <c r="Q9" s="1">
        <f aca="true" t="shared" si="11" ref="Q9:Q75">O9+P9</f>
        <v>2274.5</v>
      </c>
      <c r="R9" s="1">
        <v>2152.4</v>
      </c>
      <c r="S9" s="9">
        <v>2126.2</v>
      </c>
      <c r="T9" s="1">
        <v>2502.8</v>
      </c>
      <c r="U9" s="38">
        <f t="shared" si="2"/>
        <v>6495.7</v>
      </c>
      <c r="V9" s="1">
        <f t="shared" si="2"/>
        <v>6483.200000000001</v>
      </c>
      <c r="W9" s="37">
        <f t="shared" si="3"/>
        <v>12.49999999999909</v>
      </c>
      <c r="X9" s="47">
        <v>2000</v>
      </c>
      <c r="Y9" s="47">
        <v>1949.2</v>
      </c>
      <c r="Z9" s="9">
        <v>2087.1</v>
      </c>
      <c r="AA9" s="47">
        <v>222.9</v>
      </c>
      <c r="AB9" s="9">
        <f aca="true" t="shared" si="12" ref="AB9:AB72">Z9+AA9</f>
        <v>2310</v>
      </c>
      <c r="AC9" s="47">
        <v>1852.8</v>
      </c>
      <c r="AD9" s="9">
        <v>2087.1</v>
      </c>
      <c r="AE9" s="1">
        <v>2513.6</v>
      </c>
      <c r="AF9" s="38">
        <f t="shared" si="4"/>
        <v>6397.1</v>
      </c>
      <c r="AG9" s="1">
        <f t="shared" si="4"/>
        <v>6315.6</v>
      </c>
      <c r="AH9" s="7">
        <f t="shared" si="5"/>
        <v>81.5</v>
      </c>
      <c r="AI9" s="9">
        <v>2087.1</v>
      </c>
      <c r="AJ9" s="9">
        <v>109</v>
      </c>
      <c r="AK9" s="9"/>
      <c r="AL9" s="1">
        <f t="shared" si="6"/>
        <v>2196.1</v>
      </c>
      <c r="AM9" s="1">
        <v>2179.4</v>
      </c>
      <c r="AN9" s="39">
        <f t="shared" si="7"/>
        <v>16.699999999999818</v>
      </c>
      <c r="AO9" s="9">
        <v>2087.1</v>
      </c>
      <c r="AP9" s="8">
        <v>56</v>
      </c>
      <c r="AQ9" s="8">
        <v>256.4</v>
      </c>
      <c r="AR9" s="3">
        <f t="shared" si="8"/>
        <v>2399.5</v>
      </c>
      <c r="AS9" s="2"/>
      <c r="AT9" s="9">
        <f t="shared" si="9"/>
        <v>2399.5</v>
      </c>
      <c r="AU9" s="9">
        <v>2087.1</v>
      </c>
      <c r="AV9" s="9">
        <v>37.5</v>
      </c>
      <c r="AW9" s="4"/>
      <c r="AX9" s="3">
        <f t="shared" si="10"/>
        <v>2124.6</v>
      </c>
    </row>
    <row r="10" spans="1:50" ht="11.25">
      <c r="A10" s="16">
        <v>5</v>
      </c>
      <c r="B10" s="19" t="s">
        <v>1</v>
      </c>
      <c r="C10" s="19" t="s">
        <v>20</v>
      </c>
      <c r="D10" s="8">
        <v>1875</v>
      </c>
      <c r="E10" s="9">
        <v>786</v>
      </c>
      <c r="F10" s="8">
        <v>2000</v>
      </c>
      <c r="G10" s="9">
        <v>0</v>
      </c>
      <c r="H10" s="8">
        <v>2030.98</v>
      </c>
      <c r="I10" s="1">
        <v>5110.2</v>
      </c>
      <c r="J10" s="5">
        <f t="shared" si="0"/>
        <v>5905.98</v>
      </c>
      <c r="K10" s="6">
        <f t="shared" si="0"/>
        <v>5896.2</v>
      </c>
      <c r="L10" s="37">
        <f t="shared" si="1"/>
        <v>9.779999999999745</v>
      </c>
      <c r="M10" s="1">
        <v>2095</v>
      </c>
      <c r="N10" s="1">
        <v>2045.4</v>
      </c>
      <c r="O10" s="1">
        <v>2095</v>
      </c>
      <c r="P10" s="1">
        <v>179.5</v>
      </c>
      <c r="Q10" s="1">
        <f t="shared" si="11"/>
        <v>2274.5</v>
      </c>
      <c r="R10" s="1">
        <v>1915.8</v>
      </c>
      <c r="S10" s="47">
        <v>2126.2</v>
      </c>
      <c r="T10" s="1">
        <v>2527.8</v>
      </c>
      <c r="U10" s="38">
        <f t="shared" si="2"/>
        <v>6495.7</v>
      </c>
      <c r="V10" s="1">
        <f t="shared" si="2"/>
        <v>6489</v>
      </c>
      <c r="W10" s="37">
        <f t="shared" si="3"/>
        <v>6.699999999999818</v>
      </c>
      <c r="X10" s="47">
        <v>2000</v>
      </c>
      <c r="Y10" s="47">
        <v>1490.4</v>
      </c>
      <c r="Z10" s="9">
        <v>2087.1</v>
      </c>
      <c r="AA10" s="47">
        <v>222.9</v>
      </c>
      <c r="AB10" s="9">
        <f t="shared" si="12"/>
        <v>2310</v>
      </c>
      <c r="AC10" s="47">
        <v>0</v>
      </c>
      <c r="AD10" s="9">
        <v>2087.1</v>
      </c>
      <c r="AE10" s="1">
        <v>4825.8</v>
      </c>
      <c r="AF10" s="38">
        <f t="shared" si="4"/>
        <v>6397.1</v>
      </c>
      <c r="AG10" s="1">
        <f t="shared" si="4"/>
        <v>6316.200000000001</v>
      </c>
      <c r="AH10" s="7">
        <f t="shared" si="5"/>
        <v>80.89999999999964</v>
      </c>
      <c r="AI10" s="9">
        <v>2087.1</v>
      </c>
      <c r="AJ10" s="9">
        <v>109</v>
      </c>
      <c r="AK10" s="9"/>
      <c r="AL10" s="1">
        <f t="shared" si="6"/>
        <v>2196.1</v>
      </c>
      <c r="AM10" s="1">
        <v>895.8</v>
      </c>
      <c r="AN10" s="9">
        <f t="shared" si="7"/>
        <v>1300.3</v>
      </c>
      <c r="AO10" s="9">
        <v>2087.1</v>
      </c>
      <c r="AP10" s="8">
        <v>56</v>
      </c>
      <c r="AQ10" s="8"/>
      <c r="AR10" s="3">
        <f t="shared" si="8"/>
        <v>2143.1</v>
      </c>
      <c r="AS10" s="2"/>
      <c r="AT10" s="9">
        <f t="shared" si="9"/>
        <v>2143.1</v>
      </c>
      <c r="AU10" s="9">
        <v>2087.1</v>
      </c>
      <c r="AV10" s="9">
        <v>37.5</v>
      </c>
      <c r="AW10" s="4"/>
      <c r="AX10" s="3">
        <f t="shared" si="10"/>
        <v>2124.6</v>
      </c>
    </row>
    <row r="11" spans="1:50" ht="11.25">
      <c r="A11" s="18">
        <v>6</v>
      </c>
      <c r="B11" s="19" t="s">
        <v>131</v>
      </c>
      <c r="C11" s="19" t="s">
        <v>21</v>
      </c>
      <c r="D11" s="8">
        <v>1500</v>
      </c>
      <c r="E11" s="9">
        <v>1337</v>
      </c>
      <c r="F11" s="8">
        <v>1600</v>
      </c>
      <c r="G11" s="9">
        <v>1567.8</v>
      </c>
      <c r="H11" s="8">
        <v>1624.79</v>
      </c>
      <c r="I11" s="1">
        <v>1156</v>
      </c>
      <c r="J11" s="5">
        <f t="shared" si="0"/>
        <v>4724.79</v>
      </c>
      <c r="K11" s="6">
        <f t="shared" si="0"/>
        <v>4060.8</v>
      </c>
      <c r="L11" s="40">
        <f t="shared" si="1"/>
        <v>663.9899999999998</v>
      </c>
      <c r="M11" s="1">
        <v>1676</v>
      </c>
      <c r="N11" s="1">
        <v>1622</v>
      </c>
      <c r="O11" s="1">
        <v>1676</v>
      </c>
      <c r="P11" s="1"/>
      <c r="Q11" s="1">
        <f t="shared" si="11"/>
        <v>1676</v>
      </c>
      <c r="R11" s="1">
        <v>1587</v>
      </c>
      <c r="S11" s="9">
        <v>1700.96</v>
      </c>
      <c r="T11" s="1">
        <v>1569</v>
      </c>
      <c r="U11" s="38">
        <f t="shared" si="2"/>
        <v>5052.96</v>
      </c>
      <c r="V11" s="1">
        <f t="shared" si="2"/>
        <v>4778</v>
      </c>
      <c r="W11" s="7">
        <f t="shared" si="3"/>
        <v>274.96000000000004</v>
      </c>
      <c r="X11" s="47">
        <v>1600</v>
      </c>
      <c r="Y11" s="47">
        <v>1514</v>
      </c>
      <c r="Z11" s="9">
        <v>1669.68</v>
      </c>
      <c r="AA11" s="47"/>
      <c r="AB11" s="9">
        <f t="shared" si="12"/>
        <v>1669.68</v>
      </c>
      <c r="AC11" s="47">
        <v>1563</v>
      </c>
      <c r="AD11" s="9">
        <v>1669.68</v>
      </c>
      <c r="AE11" s="1">
        <v>1855</v>
      </c>
      <c r="AF11" s="38">
        <f t="shared" si="4"/>
        <v>4939.360000000001</v>
      </c>
      <c r="AG11" s="1">
        <f t="shared" si="4"/>
        <v>4932</v>
      </c>
      <c r="AH11" s="37">
        <f t="shared" si="5"/>
        <v>7.360000000000582</v>
      </c>
      <c r="AI11" s="9">
        <v>1669.68</v>
      </c>
      <c r="AJ11" s="9">
        <v>87.2</v>
      </c>
      <c r="AK11" s="9">
        <v>327.6</v>
      </c>
      <c r="AL11" s="1">
        <f t="shared" si="6"/>
        <v>2084.48</v>
      </c>
      <c r="AM11" s="1">
        <v>2000</v>
      </c>
      <c r="AN11" s="9">
        <f t="shared" si="7"/>
        <v>84.48000000000002</v>
      </c>
      <c r="AO11" s="9">
        <v>1669.68</v>
      </c>
      <c r="AP11" s="8">
        <v>44.8</v>
      </c>
      <c r="AQ11" s="8"/>
      <c r="AR11" s="3">
        <f t="shared" si="8"/>
        <v>1714.48</v>
      </c>
      <c r="AS11" s="2"/>
      <c r="AT11" s="9">
        <f t="shared" si="9"/>
        <v>1714.48</v>
      </c>
      <c r="AU11" s="9">
        <v>1669.68</v>
      </c>
      <c r="AV11" s="9">
        <v>30</v>
      </c>
      <c r="AW11" s="4"/>
      <c r="AX11" s="3">
        <f t="shared" si="10"/>
        <v>1699.68</v>
      </c>
    </row>
    <row r="12" spans="1:50" ht="10.5" customHeight="1">
      <c r="A12" s="16">
        <v>7</v>
      </c>
      <c r="B12" s="20" t="s">
        <v>2</v>
      </c>
      <c r="C12" s="21" t="s">
        <v>20</v>
      </c>
      <c r="D12" s="8">
        <v>2812.5</v>
      </c>
      <c r="E12" s="9">
        <v>2788</v>
      </c>
      <c r="F12" s="8">
        <v>3000</v>
      </c>
      <c r="G12" s="9">
        <v>2817</v>
      </c>
      <c r="H12" s="8">
        <v>3048.96</v>
      </c>
      <c r="I12" s="1">
        <v>3194</v>
      </c>
      <c r="J12" s="5">
        <f t="shared" si="0"/>
        <v>8861.46</v>
      </c>
      <c r="K12" s="6">
        <f t="shared" si="0"/>
        <v>8799</v>
      </c>
      <c r="L12" s="40">
        <f t="shared" si="1"/>
        <v>62.45999999999913</v>
      </c>
      <c r="M12" s="1">
        <v>3142.5</v>
      </c>
      <c r="N12" s="1">
        <v>3140</v>
      </c>
      <c r="O12" s="1">
        <v>3142.5</v>
      </c>
      <c r="P12" s="1"/>
      <c r="Q12" s="1">
        <f t="shared" si="11"/>
        <v>3142.5</v>
      </c>
      <c r="R12" s="1">
        <v>2829</v>
      </c>
      <c r="S12" s="47">
        <v>3191.03</v>
      </c>
      <c r="T12" s="1">
        <v>3505</v>
      </c>
      <c r="U12" s="38">
        <f t="shared" si="2"/>
        <v>9476.03</v>
      </c>
      <c r="V12" s="1">
        <f t="shared" si="2"/>
        <v>9474</v>
      </c>
      <c r="W12" s="37">
        <f t="shared" si="3"/>
        <v>2.030000000000655</v>
      </c>
      <c r="X12" s="47">
        <v>3000</v>
      </c>
      <c r="Y12" s="47">
        <v>2949</v>
      </c>
      <c r="Z12" s="9">
        <v>3131.79</v>
      </c>
      <c r="AA12" s="47">
        <v>333</v>
      </c>
      <c r="AB12" s="9">
        <f t="shared" si="12"/>
        <v>3464.79</v>
      </c>
      <c r="AC12" s="47">
        <v>3000</v>
      </c>
      <c r="AD12" s="9">
        <v>3131.79</v>
      </c>
      <c r="AE12" s="1">
        <v>3636</v>
      </c>
      <c r="AF12" s="38">
        <f t="shared" si="4"/>
        <v>9596.58</v>
      </c>
      <c r="AG12" s="1">
        <f t="shared" si="4"/>
        <v>9585</v>
      </c>
      <c r="AH12" s="37">
        <f t="shared" si="5"/>
        <v>11.579999999999927</v>
      </c>
      <c r="AI12" s="9">
        <v>3131.79</v>
      </c>
      <c r="AJ12" s="9">
        <v>158.54</v>
      </c>
      <c r="AK12" s="9">
        <v>615.94</v>
      </c>
      <c r="AL12" s="1">
        <f t="shared" si="6"/>
        <v>3906.27</v>
      </c>
      <c r="AM12" s="1">
        <v>3885</v>
      </c>
      <c r="AN12" s="39">
        <f t="shared" si="7"/>
        <v>21.269999999999982</v>
      </c>
      <c r="AO12" s="9">
        <v>3131.79</v>
      </c>
      <c r="AP12" s="8">
        <v>78.52</v>
      </c>
      <c r="AQ12" s="8">
        <v>390</v>
      </c>
      <c r="AR12" s="3">
        <f t="shared" si="8"/>
        <v>3600.31</v>
      </c>
      <c r="AS12" s="2"/>
      <c r="AT12" s="9">
        <f t="shared" si="9"/>
        <v>3600.31</v>
      </c>
      <c r="AU12" s="9">
        <v>3131.79</v>
      </c>
      <c r="AV12" s="9">
        <v>53.33</v>
      </c>
      <c r="AW12" s="4"/>
      <c r="AX12" s="3">
        <f t="shared" si="10"/>
        <v>3185.12</v>
      </c>
    </row>
    <row r="13" spans="1:50" s="22" customFormat="1" ht="11.25" customHeight="1">
      <c r="A13" s="18">
        <v>8</v>
      </c>
      <c r="B13" s="20" t="s">
        <v>27</v>
      </c>
      <c r="C13" s="21" t="s">
        <v>21</v>
      </c>
      <c r="D13" s="8">
        <v>2250</v>
      </c>
      <c r="E13" s="9">
        <v>2248</v>
      </c>
      <c r="F13" s="8">
        <v>2400</v>
      </c>
      <c r="G13" s="9">
        <v>2254</v>
      </c>
      <c r="H13" s="8">
        <v>0</v>
      </c>
      <c r="I13" s="39">
        <v>0</v>
      </c>
      <c r="J13" s="49">
        <f t="shared" si="0"/>
        <v>4650</v>
      </c>
      <c r="K13" s="49">
        <f t="shared" si="0"/>
        <v>4502</v>
      </c>
      <c r="L13" s="7">
        <f t="shared" si="1"/>
        <v>148</v>
      </c>
      <c r="M13" s="1">
        <v>0</v>
      </c>
      <c r="N13" s="1">
        <v>0</v>
      </c>
      <c r="O13" s="1">
        <v>0</v>
      </c>
      <c r="P13" s="1"/>
      <c r="Q13" s="1">
        <f t="shared" si="11"/>
        <v>0</v>
      </c>
      <c r="R13" s="1">
        <v>0</v>
      </c>
      <c r="S13" s="9">
        <v>0</v>
      </c>
      <c r="T13" s="1">
        <v>0</v>
      </c>
      <c r="U13" s="38">
        <f t="shared" si="2"/>
        <v>0</v>
      </c>
      <c r="V13" s="1">
        <f t="shared" si="2"/>
        <v>0</v>
      </c>
      <c r="W13" s="7"/>
      <c r="X13" s="47">
        <v>0</v>
      </c>
      <c r="Y13" s="47"/>
      <c r="Z13" s="9"/>
      <c r="AA13" s="47"/>
      <c r="AB13" s="9">
        <f t="shared" si="12"/>
        <v>0</v>
      </c>
      <c r="AC13" s="47"/>
      <c r="AD13" s="9"/>
      <c r="AE13" s="1"/>
      <c r="AF13" s="38">
        <f t="shared" si="4"/>
        <v>0</v>
      </c>
      <c r="AG13" s="1">
        <f t="shared" si="4"/>
        <v>0</v>
      </c>
      <c r="AH13" s="7"/>
      <c r="AI13" s="9"/>
      <c r="AJ13" s="9"/>
      <c r="AK13" s="9"/>
      <c r="AL13" s="1">
        <f t="shared" si="6"/>
        <v>0</v>
      </c>
      <c r="AM13" s="1"/>
      <c r="AN13" s="9"/>
      <c r="AO13" s="9"/>
      <c r="AP13" s="8"/>
      <c r="AQ13" s="8"/>
      <c r="AR13" s="3">
        <f t="shared" si="8"/>
        <v>0</v>
      </c>
      <c r="AS13" s="2"/>
      <c r="AT13" s="9">
        <f t="shared" si="9"/>
        <v>0</v>
      </c>
      <c r="AU13" s="9"/>
      <c r="AV13" s="9"/>
      <c r="AW13" s="4"/>
      <c r="AX13" s="3">
        <f t="shared" si="10"/>
        <v>0</v>
      </c>
    </row>
    <row r="14" spans="1:50" s="22" customFormat="1" ht="11.25" customHeight="1">
      <c r="A14" s="16">
        <v>9</v>
      </c>
      <c r="B14" s="30" t="s">
        <v>116</v>
      </c>
      <c r="C14" s="21" t="s">
        <v>21</v>
      </c>
      <c r="D14" s="8">
        <f>2250+82.2</f>
        <v>2332.2</v>
      </c>
      <c r="E14" s="9">
        <v>2332.2</v>
      </c>
      <c r="F14" s="8">
        <f>2400-82.2+81.8</f>
        <v>2399.6000000000004</v>
      </c>
      <c r="G14" s="9">
        <v>2399.6</v>
      </c>
      <c r="H14" s="8">
        <f>2437.19-81.8</f>
        <v>2355.39</v>
      </c>
      <c r="I14" s="1">
        <v>2305.6</v>
      </c>
      <c r="J14" s="5">
        <f t="shared" si="0"/>
        <v>7087.1900000000005</v>
      </c>
      <c r="K14" s="6">
        <f t="shared" si="0"/>
        <v>7037.4</v>
      </c>
      <c r="L14" s="40">
        <f t="shared" si="1"/>
        <v>49.79000000000087</v>
      </c>
      <c r="M14" s="1">
        <v>2514</v>
      </c>
      <c r="N14" s="1">
        <v>2438.6</v>
      </c>
      <c r="O14" s="1">
        <v>2514</v>
      </c>
      <c r="P14" s="1"/>
      <c r="Q14" s="1">
        <f>O14+P14+114.4</f>
        <v>2628.4</v>
      </c>
      <c r="R14" s="1">
        <v>2628.4</v>
      </c>
      <c r="S14" s="47">
        <f>2551.44-114.4</f>
        <v>2437.04</v>
      </c>
      <c r="T14" s="1">
        <v>2467</v>
      </c>
      <c r="U14" s="38">
        <f t="shared" si="2"/>
        <v>7579.44</v>
      </c>
      <c r="V14" s="1">
        <f t="shared" si="2"/>
        <v>7534</v>
      </c>
      <c r="W14" s="7">
        <f t="shared" si="3"/>
        <v>45.4399999999996</v>
      </c>
      <c r="X14" s="47">
        <v>2400</v>
      </c>
      <c r="Y14" s="47">
        <v>2397.8</v>
      </c>
      <c r="Z14" s="9">
        <v>2504.52</v>
      </c>
      <c r="AA14" s="47"/>
      <c r="AB14" s="9">
        <f>2504.52+3.28</f>
        <v>2507.8</v>
      </c>
      <c r="AC14" s="47">
        <v>2507.8</v>
      </c>
      <c r="AD14" s="9">
        <f>2504.52-3.28</f>
        <v>2501.24</v>
      </c>
      <c r="AE14" s="1">
        <v>2483</v>
      </c>
      <c r="AF14" s="38">
        <f t="shared" si="4"/>
        <v>7409.04</v>
      </c>
      <c r="AG14" s="1">
        <f t="shared" si="4"/>
        <v>7388.6</v>
      </c>
      <c r="AH14" s="37">
        <f t="shared" si="5"/>
        <v>20.4399999999996</v>
      </c>
      <c r="AI14" s="9">
        <v>2504.52</v>
      </c>
      <c r="AJ14" s="9">
        <v>130.8</v>
      </c>
      <c r="AK14" s="9">
        <v>491.4</v>
      </c>
      <c r="AL14" s="1">
        <f t="shared" si="6"/>
        <v>3126.7200000000003</v>
      </c>
      <c r="AM14" s="1">
        <v>3068.2</v>
      </c>
      <c r="AN14" s="9">
        <f t="shared" si="7"/>
        <v>58.52000000000044</v>
      </c>
      <c r="AO14" s="9">
        <v>2504.52</v>
      </c>
      <c r="AP14" s="8">
        <v>67.2</v>
      </c>
      <c r="AQ14" s="8"/>
      <c r="AR14" s="3">
        <f t="shared" si="8"/>
        <v>2571.72</v>
      </c>
      <c r="AS14" s="2"/>
      <c r="AT14" s="9">
        <f t="shared" si="9"/>
        <v>2571.72</v>
      </c>
      <c r="AU14" s="9">
        <v>2504.52</v>
      </c>
      <c r="AV14" s="9">
        <v>45</v>
      </c>
      <c r="AW14" s="4"/>
      <c r="AX14" s="3">
        <f t="shared" si="10"/>
        <v>2549.52</v>
      </c>
    </row>
    <row r="15" spans="1:50" ht="11.25" customHeight="1">
      <c r="A15" s="18">
        <v>10</v>
      </c>
      <c r="B15" s="20" t="s">
        <v>43</v>
      </c>
      <c r="C15" s="21" t="s">
        <v>21</v>
      </c>
      <c r="D15" s="8">
        <v>2250</v>
      </c>
      <c r="E15" s="9">
        <v>2073</v>
      </c>
      <c r="F15" s="8">
        <v>2400</v>
      </c>
      <c r="G15" s="9">
        <v>2394</v>
      </c>
      <c r="H15" s="8">
        <v>2437.19</v>
      </c>
      <c r="I15" s="1">
        <v>2616</v>
      </c>
      <c r="J15" s="5">
        <f t="shared" si="0"/>
        <v>7087.1900000000005</v>
      </c>
      <c r="K15" s="6">
        <f t="shared" si="0"/>
        <v>7083</v>
      </c>
      <c r="L15" s="37">
        <f t="shared" si="1"/>
        <v>4.190000000000509</v>
      </c>
      <c r="M15" s="1">
        <v>2514</v>
      </c>
      <c r="N15" s="1">
        <v>2483</v>
      </c>
      <c r="O15" s="1">
        <v>2514</v>
      </c>
      <c r="P15" s="1">
        <v>215.4</v>
      </c>
      <c r="Q15" s="1">
        <f t="shared" si="11"/>
        <v>2729.4</v>
      </c>
      <c r="R15" s="1">
        <v>2389</v>
      </c>
      <c r="S15" s="9">
        <v>2551.44</v>
      </c>
      <c r="T15" s="1">
        <v>2898</v>
      </c>
      <c r="U15" s="38">
        <f t="shared" si="2"/>
        <v>7794.84</v>
      </c>
      <c r="V15" s="1">
        <f t="shared" si="2"/>
        <v>7770</v>
      </c>
      <c r="W15" s="37">
        <f t="shared" si="3"/>
        <v>24.840000000000146</v>
      </c>
      <c r="X15" s="47">
        <v>2400</v>
      </c>
      <c r="Y15" s="47">
        <v>2389</v>
      </c>
      <c r="Z15" s="9">
        <v>2504.52</v>
      </c>
      <c r="AA15" s="47">
        <v>266.4</v>
      </c>
      <c r="AB15" s="9">
        <f t="shared" si="12"/>
        <v>2770.92</v>
      </c>
      <c r="AC15" s="47">
        <v>2726</v>
      </c>
      <c r="AD15" s="9">
        <v>2504.52</v>
      </c>
      <c r="AE15" s="1">
        <v>2538</v>
      </c>
      <c r="AF15" s="38">
        <f t="shared" si="4"/>
        <v>7675.4400000000005</v>
      </c>
      <c r="AG15" s="1">
        <f t="shared" si="4"/>
        <v>7653</v>
      </c>
      <c r="AH15" s="37">
        <f t="shared" si="5"/>
        <v>22.44000000000051</v>
      </c>
      <c r="AI15" s="9">
        <v>2504.52</v>
      </c>
      <c r="AJ15" s="9">
        <v>130.8</v>
      </c>
      <c r="AK15" s="9">
        <v>491.4</v>
      </c>
      <c r="AL15" s="1">
        <f t="shared" si="6"/>
        <v>3126.7200000000003</v>
      </c>
      <c r="AM15" s="1">
        <v>3125</v>
      </c>
      <c r="AN15" s="39">
        <f t="shared" si="7"/>
        <v>1.7200000000002547</v>
      </c>
      <c r="AO15" s="9">
        <v>2504.52</v>
      </c>
      <c r="AP15" s="8">
        <v>67.2</v>
      </c>
      <c r="AQ15" s="8">
        <v>307.68</v>
      </c>
      <c r="AR15" s="3">
        <f t="shared" si="8"/>
        <v>2879.3999999999996</v>
      </c>
      <c r="AS15" s="2"/>
      <c r="AT15" s="9">
        <f t="shared" si="9"/>
        <v>2879.3999999999996</v>
      </c>
      <c r="AU15" s="9">
        <v>2504.52</v>
      </c>
      <c r="AV15" s="9">
        <v>45</v>
      </c>
      <c r="AW15" s="4"/>
      <c r="AX15" s="3">
        <f t="shared" si="10"/>
        <v>2549.52</v>
      </c>
    </row>
    <row r="16" spans="1:50" ht="11.25">
      <c r="A16" s="16">
        <v>11</v>
      </c>
      <c r="B16" s="19" t="s">
        <v>18</v>
      </c>
      <c r="C16" s="19" t="s">
        <v>21</v>
      </c>
      <c r="D16" s="8">
        <v>1500</v>
      </c>
      <c r="E16" s="9">
        <v>1358</v>
      </c>
      <c r="F16" s="8">
        <v>1600</v>
      </c>
      <c r="G16" s="9">
        <v>1592</v>
      </c>
      <c r="H16" s="8">
        <v>1624.79</v>
      </c>
      <c r="I16" s="1">
        <v>1766</v>
      </c>
      <c r="J16" s="5">
        <f t="shared" si="0"/>
        <v>4724.79</v>
      </c>
      <c r="K16" s="6">
        <f t="shared" si="0"/>
        <v>4716</v>
      </c>
      <c r="L16" s="37">
        <f t="shared" si="1"/>
        <v>8.789999999999964</v>
      </c>
      <c r="M16" s="1">
        <v>1676</v>
      </c>
      <c r="N16" s="1">
        <v>1665</v>
      </c>
      <c r="O16" s="1">
        <v>1676</v>
      </c>
      <c r="P16" s="1">
        <v>143.6</v>
      </c>
      <c r="Q16" s="1">
        <f t="shared" si="11"/>
        <v>1819.6</v>
      </c>
      <c r="R16" s="1">
        <v>1817</v>
      </c>
      <c r="S16" s="47">
        <v>1700.96</v>
      </c>
      <c r="T16" s="1">
        <v>1714</v>
      </c>
      <c r="U16" s="38">
        <f t="shared" si="2"/>
        <v>5196.5599999999995</v>
      </c>
      <c r="V16" s="1">
        <f t="shared" si="2"/>
        <v>5196</v>
      </c>
      <c r="W16" s="37">
        <f t="shared" si="3"/>
        <v>0.5599999999994907</v>
      </c>
      <c r="X16" s="47">
        <v>1600</v>
      </c>
      <c r="Y16" s="47">
        <v>1593</v>
      </c>
      <c r="Z16" s="9">
        <v>1669.68</v>
      </c>
      <c r="AA16" s="47">
        <v>177.6</v>
      </c>
      <c r="AB16" s="9">
        <f t="shared" si="12"/>
        <v>1847.28</v>
      </c>
      <c r="AC16" s="47">
        <v>1846</v>
      </c>
      <c r="AD16" s="9">
        <v>1669.68</v>
      </c>
      <c r="AE16" s="1">
        <v>1672</v>
      </c>
      <c r="AF16" s="38">
        <f t="shared" si="4"/>
        <v>5116.96</v>
      </c>
      <c r="AG16" s="1">
        <f t="shared" si="4"/>
        <v>5111</v>
      </c>
      <c r="AH16" s="37">
        <f t="shared" si="5"/>
        <v>5.960000000000036</v>
      </c>
      <c r="AI16" s="9">
        <v>1669.68</v>
      </c>
      <c r="AJ16" s="9">
        <v>87.2</v>
      </c>
      <c r="AK16" s="9">
        <v>327.6</v>
      </c>
      <c r="AL16" s="1">
        <f t="shared" si="6"/>
        <v>2084.48</v>
      </c>
      <c r="AM16" s="1">
        <v>2078</v>
      </c>
      <c r="AN16" s="39">
        <f t="shared" si="7"/>
        <v>6.480000000000018</v>
      </c>
      <c r="AO16" s="9">
        <v>1669.68</v>
      </c>
      <c r="AP16" s="8">
        <v>44.8</v>
      </c>
      <c r="AQ16" s="8">
        <v>205.12</v>
      </c>
      <c r="AR16" s="3">
        <f t="shared" si="8"/>
        <v>1919.6</v>
      </c>
      <c r="AS16" s="2"/>
      <c r="AT16" s="9">
        <f t="shared" si="9"/>
        <v>1919.6</v>
      </c>
      <c r="AU16" s="9">
        <v>1669.68</v>
      </c>
      <c r="AV16" s="9">
        <v>30</v>
      </c>
      <c r="AW16" s="4"/>
      <c r="AX16" s="3">
        <f t="shared" si="10"/>
        <v>1699.68</v>
      </c>
    </row>
    <row r="17" spans="1:50" ht="11.25">
      <c r="A17" s="18">
        <v>12</v>
      </c>
      <c r="B17" s="19" t="s">
        <v>3</v>
      </c>
      <c r="C17" s="19" t="s">
        <v>21</v>
      </c>
      <c r="D17" s="8">
        <v>1500</v>
      </c>
      <c r="E17" s="9">
        <v>1494</v>
      </c>
      <c r="F17" s="8">
        <v>1600</v>
      </c>
      <c r="G17" s="9">
        <v>1599</v>
      </c>
      <c r="H17" s="8">
        <v>1624.79</v>
      </c>
      <c r="I17" s="1">
        <v>1630</v>
      </c>
      <c r="J17" s="5">
        <f t="shared" si="0"/>
        <v>4724.79</v>
      </c>
      <c r="K17" s="6">
        <f t="shared" si="0"/>
        <v>4723</v>
      </c>
      <c r="L17" s="37">
        <f t="shared" si="1"/>
        <v>1.7899999999999636</v>
      </c>
      <c r="M17" s="1">
        <v>1676</v>
      </c>
      <c r="N17" s="1">
        <v>1671</v>
      </c>
      <c r="O17" s="1">
        <v>1676</v>
      </c>
      <c r="P17" s="1">
        <v>143.6</v>
      </c>
      <c r="Q17" s="1">
        <f t="shared" si="11"/>
        <v>1819.6</v>
      </c>
      <c r="R17" s="1">
        <v>1819</v>
      </c>
      <c r="S17" s="9">
        <v>1700.96</v>
      </c>
      <c r="T17" s="1">
        <v>1700</v>
      </c>
      <c r="U17" s="38">
        <f t="shared" si="2"/>
        <v>5196.5599999999995</v>
      </c>
      <c r="V17" s="1">
        <f t="shared" si="2"/>
        <v>5190</v>
      </c>
      <c r="W17" s="37">
        <f t="shared" si="3"/>
        <v>6.559999999999491</v>
      </c>
      <c r="X17" s="47">
        <v>1600</v>
      </c>
      <c r="Y17" s="47">
        <v>1600</v>
      </c>
      <c r="Z17" s="9">
        <v>1669.68</v>
      </c>
      <c r="AA17" s="47">
        <v>177.6</v>
      </c>
      <c r="AB17" s="9">
        <f t="shared" si="12"/>
        <v>1847.28</v>
      </c>
      <c r="AC17" s="47">
        <v>1833</v>
      </c>
      <c r="AD17" s="9">
        <v>1669.68</v>
      </c>
      <c r="AE17" s="1">
        <v>1682</v>
      </c>
      <c r="AF17" s="38">
        <f t="shared" si="4"/>
        <v>5116.96</v>
      </c>
      <c r="AG17" s="1">
        <f t="shared" si="4"/>
        <v>5115</v>
      </c>
      <c r="AH17" s="37">
        <f t="shared" si="5"/>
        <v>1.9600000000000364</v>
      </c>
      <c r="AI17" s="9">
        <v>1669.68</v>
      </c>
      <c r="AJ17" s="9">
        <v>87.2</v>
      </c>
      <c r="AK17" s="9">
        <v>327.6</v>
      </c>
      <c r="AL17" s="1">
        <f t="shared" si="6"/>
        <v>2084.48</v>
      </c>
      <c r="AM17" s="1">
        <v>2077</v>
      </c>
      <c r="AN17" s="39">
        <f t="shared" si="7"/>
        <v>7.480000000000018</v>
      </c>
      <c r="AO17" s="9">
        <v>1669.68</v>
      </c>
      <c r="AP17" s="8">
        <v>44.8</v>
      </c>
      <c r="AQ17" s="8">
        <v>205.12</v>
      </c>
      <c r="AR17" s="3">
        <f t="shared" si="8"/>
        <v>1919.6</v>
      </c>
      <c r="AS17" s="2"/>
      <c r="AT17" s="9">
        <f t="shared" si="9"/>
        <v>1919.6</v>
      </c>
      <c r="AU17" s="9">
        <v>1669.68</v>
      </c>
      <c r="AV17" s="9">
        <v>30</v>
      </c>
      <c r="AW17" s="4"/>
      <c r="AX17" s="3">
        <f t="shared" si="10"/>
        <v>1699.68</v>
      </c>
    </row>
    <row r="18" spans="1:50" ht="11.25">
      <c r="A18" s="16">
        <v>13</v>
      </c>
      <c r="B18" s="19" t="s">
        <v>87</v>
      </c>
      <c r="C18" s="19" t="s">
        <v>21</v>
      </c>
      <c r="D18" s="8">
        <v>1500</v>
      </c>
      <c r="E18" s="9">
        <v>1499</v>
      </c>
      <c r="F18" s="8">
        <v>1600</v>
      </c>
      <c r="G18" s="9">
        <v>1598</v>
      </c>
      <c r="H18" s="8">
        <v>1624.79</v>
      </c>
      <c r="I18" s="1">
        <v>1622</v>
      </c>
      <c r="J18" s="5">
        <f t="shared" si="0"/>
        <v>4724.79</v>
      </c>
      <c r="K18" s="6">
        <f t="shared" si="0"/>
        <v>4719</v>
      </c>
      <c r="L18" s="37">
        <f t="shared" si="1"/>
        <v>5.789999999999964</v>
      </c>
      <c r="M18" s="1">
        <v>1676</v>
      </c>
      <c r="N18" s="1">
        <v>1671</v>
      </c>
      <c r="O18" s="1">
        <v>1676</v>
      </c>
      <c r="P18" s="1">
        <v>143.6</v>
      </c>
      <c r="Q18" s="1">
        <f t="shared" si="11"/>
        <v>1819.6</v>
      </c>
      <c r="R18" s="1">
        <v>1559</v>
      </c>
      <c r="S18" s="47">
        <v>1700.96</v>
      </c>
      <c r="T18" s="1">
        <v>1960</v>
      </c>
      <c r="U18" s="38">
        <f t="shared" si="2"/>
        <v>5196.5599999999995</v>
      </c>
      <c r="V18" s="1">
        <f t="shared" si="2"/>
        <v>5190</v>
      </c>
      <c r="W18" s="37">
        <f t="shared" si="3"/>
        <v>6.559999999999491</v>
      </c>
      <c r="X18" s="47">
        <v>1600</v>
      </c>
      <c r="Y18" s="47">
        <v>1585</v>
      </c>
      <c r="Z18" s="9">
        <v>1669.68</v>
      </c>
      <c r="AA18" s="47">
        <v>177.6</v>
      </c>
      <c r="AB18" s="9">
        <f t="shared" si="12"/>
        <v>1847.28</v>
      </c>
      <c r="AC18" s="47">
        <v>1600</v>
      </c>
      <c r="AD18" s="9">
        <v>1669.68</v>
      </c>
      <c r="AE18" s="1">
        <v>1931</v>
      </c>
      <c r="AF18" s="38">
        <f t="shared" si="4"/>
        <v>5116.96</v>
      </c>
      <c r="AG18" s="1">
        <f t="shared" si="4"/>
        <v>5116</v>
      </c>
      <c r="AH18" s="37">
        <f t="shared" si="5"/>
        <v>0.9600000000000364</v>
      </c>
      <c r="AI18" s="9">
        <v>1669.68</v>
      </c>
      <c r="AJ18" s="9">
        <v>87.2</v>
      </c>
      <c r="AK18" s="9">
        <v>327.6</v>
      </c>
      <c r="AL18" s="1">
        <f t="shared" si="6"/>
        <v>2084.48</v>
      </c>
      <c r="AM18" s="1">
        <v>2079</v>
      </c>
      <c r="AN18" s="39">
        <f t="shared" si="7"/>
        <v>5.480000000000018</v>
      </c>
      <c r="AO18" s="9">
        <v>1669.68</v>
      </c>
      <c r="AP18" s="8">
        <v>44.8</v>
      </c>
      <c r="AQ18" s="8">
        <v>205.12</v>
      </c>
      <c r="AR18" s="3">
        <f t="shared" si="8"/>
        <v>1919.6</v>
      </c>
      <c r="AS18" s="2"/>
      <c r="AT18" s="9">
        <f t="shared" si="9"/>
        <v>1919.6</v>
      </c>
      <c r="AU18" s="9">
        <v>1669.68</v>
      </c>
      <c r="AV18" s="9">
        <v>30</v>
      </c>
      <c r="AW18" s="4"/>
      <c r="AX18" s="3">
        <f t="shared" si="10"/>
        <v>1699.68</v>
      </c>
    </row>
    <row r="19" spans="1:50" ht="11.25">
      <c r="A19" s="18">
        <v>14</v>
      </c>
      <c r="B19" s="19" t="s">
        <v>93</v>
      </c>
      <c r="C19" s="19" t="s">
        <v>21</v>
      </c>
      <c r="D19" s="8">
        <f>1500+92</f>
        <v>1592</v>
      </c>
      <c r="E19" s="9">
        <v>1592</v>
      </c>
      <c r="F19" s="8">
        <f>1600-92+79</f>
        <v>1587</v>
      </c>
      <c r="G19" s="9">
        <v>1587</v>
      </c>
      <c r="H19" s="8">
        <f>1624.79-79</f>
        <v>1545.79</v>
      </c>
      <c r="I19" s="1">
        <v>1542</v>
      </c>
      <c r="J19" s="5">
        <f t="shared" si="0"/>
        <v>4724.79</v>
      </c>
      <c r="K19" s="6">
        <f t="shared" si="0"/>
        <v>4721</v>
      </c>
      <c r="L19" s="37">
        <f t="shared" si="1"/>
        <v>3.7899999999999636</v>
      </c>
      <c r="M19" s="1">
        <v>1676</v>
      </c>
      <c r="N19" s="1">
        <v>1669</v>
      </c>
      <c r="O19" s="1">
        <v>1676</v>
      </c>
      <c r="P19" s="1">
        <v>143.6</v>
      </c>
      <c r="Q19" s="1">
        <f t="shared" si="11"/>
        <v>1819.6</v>
      </c>
      <c r="R19" s="1">
        <v>1813</v>
      </c>
      <c r="S19" s="9">
        <v>1700.96</v>
      </c>
      <c r="T19" s="1">
        <v>1570</v>
      </c>
      <c r="U19" s="38">
        <f t="shared" si="2"/>
        <v>5196.5599999999995</v>
      </c>
      <c r="V19" s="1">
        <f t="shared" si="2"/>
        <v>5052</v>
      </c>
      <c r="W19" s="7">
        <f t="shared" si="3"/>
        <v>144.5599999999995</v>
      </c>
      <c r="X19" s="47">
        <v>1600</v>
      </c>
      <c r="Y19" s="47">
        <v>0</v>
      </c>
      <c r="Z19" s="9">
        <v>1669.68</v>
      </c>
      <c r="AA19" s="47"/>
      <c r="AB19" s="9">
        <f>Z19+AA19+89.32</f>
        <v>1759</v>
      </c>
      <c r="AC19" s="47">
        <v>1759</v>
      </c>
      <c r="AD19" s="9">
        <f>1669.68-89.32</f>
        <v>1580.3600000000001</v>
      </c>
      <c r="AE19" s="1">
        <v>3089</v>
      </c>
      <c r="AF19" s="38">
        <f t="shared" si="4"/>
        <v>4939.360000000001</v>
      </c>
      <c r="AG19" s="1">
        <f t="shared" si="4"/>
        <v>4848</v>
      </c>
      <c r="AH19" s="7">
        <f t="shared" si="5"/>
        <v>91.36000000000058</v>
      </c>
      <c r="AI19" s="9">
        <v>1669.68</v>
      </c>
      <c r="AJ19" s="9">
        <v>87.2</v>
      </c>
      <c r="AK19" s="9"/>
      <c r="AL19" s="1">
        <f t="shared" si="6"/>
        <v>1756.88</v>
      </c>
      <c r="AM19" s="1">
        <v>1737</v>
      </c>
      <c r="AN19" s="39">
        <f t="shared" si="7"/>
        <v>19.88000000000011</v>
      </c>
      <c r="AO19" s="9">
        <v>1669.68</v>
      </c>
      <c r="AP19" s="8">
        <v>44.8</v>
      </c>
      <c r="AQ19" s="8">
        <v>205.12</v>
      </c>
      <c r="AR19" s="3">
        <f t="shared" si="8"/>
        <v>1919.6</v>
      </c>
      <c r="AS19" s="2"/>
      <c r="AT19" s="9">
        <f t="shared" si="9"/>
        <v>1919.6</v>
      </c>
      <c r="AU19" s="9">
        <v>1669.68</v>
      </c>
      <c r="AV19" s="9">
        <v>30</v>
      </c>
      <c r="AW19" s="4"/>
      <c r="AX19" s="3">
        <f t="shared" si="10"/>
        <v>1699.68</v>
      </c>
    </row>
    <row r="20" spans="1:50" ht="11.25">
      <c r="A20" s="16">
        <v>15</v>
      </c>
      <c r="B20" s="19" t="s">
        <v>44</v>
      </c>
      <c r="C20" s="19" t="s">
        <v>21</v>
      </c>
      <c r="D20" s="8">
        <f>1500+144</f>
        <v>1644</v>
      </c>
      <c r="E20" s="9">
        <v>1644</v>
      </c>
      <c r="F20" s="8">
        <f>1600-144+130</f>
        <v>1586</v>
      </c>
      <c r="G20" s="9">
        <v>1586</v>
      </c>
      <c r="H20" s="8">
        <f>1624.79-130</f>
        <v>1494.79</v>
      </c>
      <c r="I20" s="1">
        <v>1480</v>
      </c>
      <c r="J20" s="5">
        <f t="shared" si="0"/>
        <v>4724.79</v>
      </c>
      <c r="K20" s="6">
        <f t="shared" si="0"/>
        <v>4710</v>
      </c>
      <c r="L20" s="37">
        <f t="shared" si="1"/>
        <v>14.789999999999964</v>
      </c>
      <c r="M20" s="1">
        <f>1676+101</f>
        <v>1777</v>
      </c>
      <c r="N20" s="1">
        <v>1777</v>
      </c>
      <c r="O20" s="1">
        <v>1676</v>
      </c>
      <c r="P20" s="1">
        <v>143.6</v>
      </c>
      <c r="Q20" s="1">
        <f>O20+P20-101</f>
        <v>1718.6</v>
      </c>
      <c r="R20" s="1">
        <v>1656</v>
      </c>
      <c r="S20" s="47">
        <v>1700.96</v>
      </c>
      <c r="T20" s="1">
        <v>1761</v>
      </c>
      <c r="U20" s="38">
        <f t="shared" si="2"/>
        <v>5196.5599999999995</v>
      </c>
      <c r="V20" s="1">
        <f t="shared" si="2"/>
        <v>5194</v>
      </c>
      <c r="W20" s="37">
        <f t="shared" si="3"/>
        <v>2.5599999999994907</v>
      </c>
      <c r="X20" s="47">
        <f>1600+73</f>
        <v>1673</v>
      </c>
      <c r="Y20" s="47">
        <v>1673</v>
      </c>
      <c r="Z20" s="9">
        <f>1669.68-73</f>
        <v>1596.68</v>
      </c>
      <c r="AA20" s="47">
        <v>177.6</v>
      </c>
      <c r="AB20" s="9">
        <f t="shared" si="12"/>
        <v>1774.28</v>
      </c>
      <c r="AC20" s="47">
        <v>1581</v>
      </c>
      <c r="AD20" s="9">
        <v>1669.68</v>
      </c>
      <c r="AE20" s="1">
        <v>1715</v>
      </c>
      <c r="AF20" s="38">
        <f t="shared" si="4"/>
        <v>5116.96</v>
      </c>
      <c r="AG20" s="1">
        <f t="shared" si="4"/>
        <v>4969</v>
      </c>
      <c r="AH20" s="7">
        <f t="shared" si="5"/>
        <v>147.96000000000004</v>
      </c>
      <c r="AI20" s="9">
        <v>1669.68</v>
      </c>
      <c r="AJ20" s="9">
        <v>87.2</v>
      </c>
      <c r="AK20" s="9"/>
      <c r="AL20" s="1">
        <f t="shared" si="6"/>
        <v>1756.88</v>
      </c>
      <c r="AM20" s="1">
        <v>1756</v>
      </c>
      <c r="AN20" s="39">
        <f t="shared" si="7"/>
        <v>0.8800000000001091</v>
      </c>
      <c r="AO20" s="9">
        <v>1669.68</v>
      </c>
      <c r="AP20" s="8">
        <v>44.8</v>
      </c>
      <c r="AQ20" s="8">
        <v>205.12</v>
      </c>
      <c r="AR20" s="3">
        <f t="shared" si="8"/>
        <v>1919.6</v>
      </c>
      <c r="AS20" s="2"/>
      <c r="AT20" s="9">
        <f t="shared" si="9"/>
        <v>1919.6</v>
      </c>
      <c r="AU20" s="9">
        <v>1669.68</v>
      </c>
      <c r="AV20" s="9">
        <v>30</v>
      </c>
      <c r="AW20" s="4"/>
      <c r="AX20" s="3">
        <f t="shared" si="10"/>
        <v>1699.68</v>
      </c>
    </row>
    <row r="21" spans="1:50" ht="11.25">
      <c r="A21" s="18">
        <v>16</v>
      </c>
      <c r="B21" s="19" t="s">
        <v>133</v>
      </c>
      <c r="C21" s="19" t="s">
        <v>21</v>
      </c>
      <c r="D21" s="8">
        <v>1500</v>
      </c>
      <c r="E21" s="9">
        <v>1498</v>
      </c>
      <c r="F21" s="8">
        <v>1600</v>
      </c>
      <c r="G21" s="9">
        <v>1530</v>
      </c>
      <c r="H21" s="8">
        <v>1624.79</v>
      </c>
      <c r="I21" s="1">
        <v>1689</v>
      </c>
      <c r="J21" s="5">
        <f t="shared" si="0"/>
        <v>4724.79</v>
      </c>
      <c r="K21" s="6">
        <f t="shared" si="0"/>
        <v>4717</v>
      </c>
      <c r="L21" s="37">
        <f t="shared" si="1"/>
        <v>7.789999999999964</v>
      </c>
      <c r="M21" s="1">
        <v>1676</v>
      </c>
      <c r="N21" s="1">
        <v>1624</v>
      </c>
      <c r="O21" s="1">
        <v>1676</v>
      </c>
      <c r="P21" s="1">
        <v>143.6</v>
      </c>
      <c r="Q21" s="1">
        <f t="shared" si="11"/>
        <v>1819.6</v>
      </c>
      <c r="R21" s="1">
        <v>1663</v>
      </c>
      <c r="S21" s="9">
        <v>1700.96</v>
      </c>
      <c r="T21" s="1">
        <v>1897</v>
      </c>
      <c r="U21" s="38">
        <f t="shared" si="2"/>
        <v>5196.5599999999995</v>
      </c>
      <c r="V21" s="1">
        <f t="shared" si="2"/>
        <v>5184</v>
      </c>
      <c r="W21" s="37">
        <f t="shared" si="3"/>
        <v>12.55999999999949</v>
      </c>
      <c r="X21" s="47">
        <v>1600</v>
      </c>
      <c r="Y21" s="47">
        <v>1599.6</v>
      </c>
      <c r="Z21" s="9">
        <v>1669.68</v>
      </c>
      <c r="AA21" s="47">
        <v>177.6</v>
      </c>
      <c r="AB21" s="9">
        <f t="shared" si="12"/>
        <v>1847.28</v>
      </c>
      <c r="AC21" s="47">
        <v>1656</v>
      </c>
      <c r="AD21" s="9">
        <v>1669.68</v>
      </c>
      <c r="AE21" s="1">
        <v>1858</v>
      </c>
      <c r="AF21" s="38">
        <f t="shared" si="4"/>
        <v>5116.96</v>
      </c>
      <c r="AG21" s="1">
        <f t="shared" si="4"/>
        <v>5113.6</v>
      </c>
      <c r="AH21" s="37">
        <f t="shared" si="5"/>
        <v>3.3599999999996726</v>
      </c>
      <c r="AI21" s="9">
        <v>1669.68</v>
      </c>
      <c r="AJ21" s="9">
        <v>87.2</v>
      </c>
      <c r="AK21" s="9">
        <v>327.6</v>
      </c>
      <c r="AL21" s="1">
        <f t="shared" si="6"/>
        <v>2084.48</v>
      </c>
      <c r="AM21" s="1">
        <v>2022</v>
      </c>
      <c r="AN21" s="9">
        <f t="shared" si="7"/>
        <v>62.48000000000002</v>
      </c>
      <c r="AO21" s="9">
        <v>1669.68</v>
      </c>
      <c r="AP21" s="8">
        <v>44.8</v>
      </c>
      <c r="AQ21" s="8"/>
      <c r="AR21" s="3">
        <f t="shared" si="8"/>
        <v>1714.48</v>
      </c>
      <c r="AS21" s="2"/>
      <c r="AT21" s="9">
        <f t="shared" si="9"/>
        <v>1714.48</v>
      </c>
      <c r="AU21" s="9">
        <v>1669.68</v>
      </c>
      <c r="AV21" s="9">
        <v>30</v>
      </c>
      <c r="AW21" s="4"/>
      <c r="AX21" s="3">
        <f t="shared" si="10"/>
        <v>1699.68</v>
      </c>
    </row>
    <row r="22" spans="1:50" ht="11.25">
      <c r="A22" s="16">
        <v>17</v>
      </c>
      <c r="B22" s="19" t="s">
        <v>106</v>
      </c>
      <c r="C22" s="19" t="s">
        <v>21</v>
      </c>
      <c r="D22" s="8">
        <v>1500</v>
      </c>
      <c r="E22" s="9">
        <v>1488.6</v>
      </c>
      <c r="F22" s="8">
        <v>1600</v>
      </c>
      <c r="G22" s="9">
        <v>1594.6</v>
      </c>
      <c r="H22" s="8">
        <v>1624.79</v>
      </c>
      <c r="I22" s="1">
        <v>1628.8</v>
      </c>
      <c r="J22" s="5">
        <f t="shared" si="0"/>
        <v>4724.79</v>
      </c>
      <c r="K22" s="6">
        <f t="shared" si="0"/>
        <v>4712</v>
      </c>
      <c r="L22" s="37">
        <f t="shared" si="1"/>
        <v>12.789999999999964</v>
      </c>
      <c r="M22" s="1">
        <v>1676</v>
      </c>
      <c r="N22" s="1">
        <v>1572.4</v>
      </c>
      <c r="O22" s="1">
        <v>1676</v>
      </c>
      <c r="P22" s="1">
        <v>143.6</v>
      </c>
      <c r="Q22" s="1">
        <f t="shared" si="11"/>
        <v>1819.6</v>
      </c>
      <c r="R22" s="1">
        <v>1802</v>
      </c>
      <c r="S22" s="47">
        <v>1700.96</v>
      </c>
      <c r="T22" s="1">
        <v>1821.6</v>
      </c>
      <c r="U22" s="38">
        <f t="shared" si="2"/>
        <v>5196.5599999999995</v>
      </c>
      <c r="V22" s="1">
        <f t="shared" si="2"/>
        <v>5196</v>
      </c>
      <c r="W22" s="37">
        <f t="shared" si="3"/>
        <v>0.5599999999994907</v>
      </c>
      <c r="X22" s="47">
        <v>1600</v>
      </c>
      <c r="Y22" s="47">
        <v>1599.6</v>
      </c>
      <c r="Z22" s="9">
        <v>1669.68</v>
      </c>
      <c r="AA22" s="47">
        <v>177.6</v>
      </c>
      <c r="AB22" s="9">
        <f t="shared" si="12"/>
        <v>1847.28</v>
      </c>
      <c r="AC22" s="47">
        <v>1814.6</v>
      </c>
      <c r="AD22" s="9">
        <v>1669.68</v>
      </c>
      <c r="AE22" s="1">
        <v>1694.8</v>
      </c>
      <c r="AF22" s="38">
        <f t="shared" si="4"/>
        <v>5116.96</v>
      </c>
      <c r="AG22" s="1">
        <f t="shared" si="4"/>
        <v>5109</v>
      </c>
      <c r="AH22" s="37">
        <f t="shared" si="5"/>
        <v>7.960000000000036</v>
      </c>
      <c r="AI22" s="9">
        <v>1669.68</v>
      </c>
      <c r="AJ22" s="9">
        <v>87.2</v>
      </c>
      <c r="AK22" s="9">
        <v>327.6</v>
      </c>
      <c r="AL22" s="1">
        <f t="shared" si="6"/>
        <v>2084.48</v>
      </c>
      <c r="AM22" s="1">
        <v>1994.8</v>
      </c>
      <c r="AN22" s="9">
        <f t="shared" si="7"/>
        <v>89.68000000000006</v>
      </c>
      <c r="AO22" s="9">
        <v>1669.68</v>
      </c>
      <c r="AP22" s="8">
        <v>44.8</v>
      </c>
      <c r="AQ22" s="8"/>
      <c r="AR22" s="3">
        <f t="shared" si="8"/>
        <v>1714.48</v>
      </c>
      <c r="AS22" s="2"/>
      <c r="AT22" s="9">
        <f t="shared" si="9"/>
        <v>1714.48</v>
      </c>
      <c r="AU22" s="9">
        <v>1669.68</v>
      </c>
      <c r="AV22" s="9">
        <v>30</v>
      </c>
      <c r="AW22" s="4"/>
      <c r="AX22" s="3">
        <f t="shared" si="10"/>
        <v>1699.68</v>
      </c>
    </row>
    <row r="23" spans="1:50" ht="11.25">
      <c r="A23" s="18">
        <v>18</v>
      </c>
      <c r="B23" s="20" t="s">
        <v>26</v>
      </c>
      <c r="C23" s="20" t="s">
        <v>21</v>
      </c>
      <c r="D23" s="8">
        <v>2250</v>
      </c>
      <c r="E23" s="9">
        <v>2202</v>
      </c>
      <c r="F23" s="8">
        <f>2400+7</f>
        <v>2407</v>
      </c>
      <c r="G23" s="9">
        <v>2407</v>
      </c>
      <c r="H23" s="8">
        <f>2437.19-7</f>
        <v>2430.19</v>
      </c>
      <c r="I23" s="1">
        <v>2445</v>
      </c>
      <c r="J23" s="5">
        <f t="shared" si="0"/>
        <v>7087.1900000000005</v>
      </c>
      <c r="K23" s="6">
        <f t="shared" si="0"/>
        <v>7054</v>
      </c>
      <c r="L23" s="37">
        <f t="shared" si="1"/>
        <v>33.19000000000051</v>
      </c>
      <c r="M23" s="1">
        <v>2514</v>
      </c>
      <c r="N23" s="1">
        <v>2511</v>
      </c>
      <c r="O23" s="1">
        <v>2514</v>
      </c>
      <c r="P23" s="1">
        <v>215.4</v>
      </c>
      <c r="Q23" s="1">
        <f t="shared" si="11"/>
        <v>2729.4</v>
      </c>
      <c r="R23" s="1">
        <v>2510</v>
      </c>
      <c r="S23" s="9">
        <v>2551.44</v>
      </c>
      <c r="T23" s="1">
        <v>2773</v>
      </c>
      <c r="U23" s="38">
        <f t="shared" si="2"/>
        <v>7794.84</v>
      </c>
      <c r="V23" s="1">
        <f t="shared" si="2"/>
        <v>7794</v>
      </c>
      <c r="W23" s="37">
        <f t="shared" si="3"/>
        <v>0.8400000000001455</v>
      </c>
      <c r="X23" s="47">
        <v>2400</v>
      </c>
      <c r="Y23" s="47">
        <v>2400</v>
      </c>
      <c r="Z23" s="9">
        <v>2504.52</v>
      </c>
      <c r="AA23" s="47">
        <v>266.4</v>
      </c>
      <c r="AB23" s="9">
        <f t="shared" si="12"/>
        <v>2770.92</v>
      </c>
      <c r="AC23" s="47">
        <v>2749</v>
      </c>
      <c r="AD23" s="9">
        <v>2504.52</v>
      </c>
      <c r="AE23" s="1">
        <v>2520</v>
      </c>
      <c r="AF23" s="38">
        <f t="shared" si="4"/>
        <v>7675.4400000000005</v>
      </c>
      <c r="AG23" s="1">
        <f t="shared" si="4"/>
        <v>7669</v>
      </c>
      <c r="AH23" s="37">
        <f t="shared" si="5"/>
        <v>6.440000000000509</v>
      </c>
      <c r="AI23" s="9">
        <v>2504.52</v>
      </c>
      <c r="AJ23" s="9">
        <v>130.8</v>
      </c>
      <c r="AK23" s="9">
        <v>491.4</v>
      </c>
      <c r="AL23" s="1">
        <f t="shared" si="6"/>
        <v>3126.7200000000003</v>
      </c>
      <c r="AM23" s="1">
        <v>3108</v>
      </c>
      <c r="AN23" s="39">
        <f t="shared" si="7"/>
        <v>18.720000000000255</v>
      </c>
      <c r="AO23" s="9">
        <v>2504.52</v>
      </c>
      <c r="AP23" s="8">
        <v>67.2</v>
      </c>
      <c r="AQ23" s="8">
        <v>307.68</v>
      </c>
      <c r="AR23" s="3">
        <f t="shared" si="8"/>
        <v>2879.3999999999996</v>
      </c>
      <c r="AS23" s="2"/>
      <c r="AT23" s="9">
        <f t="shared" si="9"/>
        <v>2879.3999999999996</v>
      </c>
      <c r="AU23" s="9">
        <v>2504.52</v>
      </c>
      <c r="AV23" s="9">
        <v>45</v>
      </c>
      <c r="AW23" s="4"/>
      <c r="AX23" s="3">
        <f t="shared" si="10"/>
        <v>2549.52</v>
      </c>
    </row>
    <row r="24" spans="1:50" ht="11.25">
      <c r="A24" s="16">
        <v>19</v>
      </c>
      <c r="B24" s="19" t="s">
        <v>14</v>
      </c>
      <c r="C24" s="19" t="s">
        <v>21</v>
      </c>
      <c r="D24" s="8">
        <f>1500+57</f>
        <v>1557</v>
      </c>
      <c r="E24" s="9">
        <v>1557</v>
      </c>
      <c r="F24" s="8">
        <f>1600-57+84</f>
        <v>1627</v>
      </c>
      <c r="G24" s="9">
        <v>1627</v>
      </c>
      <c r="H24" s="8">
        <f>1624.79-84</f>
        <v>1540.79</v>
      </c>
      <c r="I24" s="1">
        <v>1518</v>
      </c>
      <c r="J24" s="5">
        <f t="shared" si="0"/>
        <v>4724.79</v>
      </c>
      <c r="K24" s="6">
        <f t="shared" si="0"/>
        <v>4702</v>
      </c>
      <c r="L24" s="37">
        <f t="shared" si="1"/>
        <v>22.789999999999964</v>
      </c>
      <c r="M24" s="1">
        <v>1676</v>
      </c>
      <c r="N24" s="1">
        <v>1667</v>
      </c>
      <c r="O24" s="1">
        <v>1676</v>
      </c>
      <c r="P24" s="1">
        <v>143.6</v>
      </c>
      <c r="Q24" s="1">
        <f t="shared" si="11"/>
        <v>1819.6</v>
      </c>
      <c r="R24" s="1">
        <v>1776</v>
      </c>
      <c r="S24" s="47">
        <v>1700.96</v>
      </c>
      <c r="T24" s="1">
        <v>1611</v>
      </c>
      <c r="U24" s="38">
        <f t="shared" si="2"/>
        <v>5196.5599999999995</v>
      </c>
      <c r="V24" s="1">
        <f t="shared" si="2"/>
        <v>5054</v>
      </c>
      <c r="W24" s="7">
        <f t="shared" si="3"/>
        <v>142.5599999999995</v>
      </c>
      <c r="X24" s="47">
        <f>1600+3</f>
        <v>1603</v>
      </c>
      <c r="Y24" s="47">
        <v>1603</v>
      </c>
      <c r="Z24" s="9">
        <f>1669.68-3</f>
        <v>1666.68</v>
      </c>
      <c r="AA24" s="47"/>
      <c r="AB24" s="9">
        <f>Z24+AA24+70.32</f>
        <v>1737</v>
      </c>
      <c r="AC24" s="47">
        <v>1737</v>
      </c>
      <c r="AD24" s="9">
        <f>1669.68-70.32</f>
        <v>1599.3600000000001</v>
      </c>
      <c r="AE24" s="1">
        <v>1494</v>
      </c>
      <c r="AF24" s="38">
        <f t="shared" si="4"/>
        <v>4939.360000000001</v>
      </c>
      <c r="AG24" s="1">
        <f t="shared" si="4"/>
        <v>4834</v>
      </c>
      <c r="AH24" s="7">
        <f t="shared" si="5"/>
        <v>105.36000000000058</v>
      </c>
      <c r="AI24" s="9">
        <v>1669.68</v>
      </c>
      <c r="AJ24" s="9">
        <v>87.2</v>
      </c>
      <c r="AK24" s="9"/>
      <c r="AL24" s="1">
        <f t="shared" si="6"/>
        <v>1756.88</v>
      </c>
      <c r="AM24" s="1">
        <v>1636</v>
      </c>
      <c r="AN24" s="9">
        <f t="shared" si="7"/>
        <v>120.88000000000011</v>
      </c>
      <c r="AO24" s="9">
        <v>1669.68</v>
      </c>
      <c r="AP24" s="8">
        <v>44.8</v>
      </c>
      <c r="AQ24" s="8"/>
      <c r="AR24" s="3">
        <f t="shared" si="8"/>
        <v>1714.48</v>
      </c>
      <c r="AS24" s="2"/>
      <c r="AT24" s="9">
        <f t="shared" si="9"/>
        <v>1714.48</v>
      </c>
      <c r="AU24" s="9">
        <v>1669.68</v>
      </c>
      <c r="AV24" s="9">
        <v>30</v>
      </c>
      <c r="AW24" s="4"/>
      <c r="AX24" s="3">
        <f t="shared" si="10"/>
        <v>1699.68</v>
      </c>
    </row>
    <row r="25" spans="1:50" ht="11.25">
      <c r="A25" s="18">
        <v>20</v>
      </c>
      <c r="B25" s="55" t="s">
        <v>142</v>
      </c>
      <c r="C25" s="55" t="s">
        <v>21</v>
      </c>
      <c r="D25" s="8"/>
      <c r="E25" s="9"/>
      <c r="F25" s="8"/>
      <c r="G25" s="9"/>
      <c r="H25" s="8"/>
      <c r="I25" s="1"/>
      <c r="J25" s="5"/>
      <c r="K25" s="6"/>
      <c r="L25" s="37"/>
      <c r="M25" s="1"/>
      <c r="N25" s="1"/>
      <c r="O25" s="1"/>
      <c r="P25" s="1"/>
      <c r="Q25" s="1"/>
      <c r="R25" s="1"/>
      <c r="S25" s="9"/>
      <c r="T25" s="1"/>
      <c r="U25" s="38"/>
      <c r="V25" s="1"/>
      <c r="W25" s="7"/>
      <c r="X25" s="47"/>
      <c r="Y25" s="47"/>
      <c r="Z25" s="9">
        <v>2504.52</v>
      </c>
      <c r="AA25" s="47"/>
      <c r="AB25" s="9">
        <f t="shared" si="12"/>
        <v>2504.52</v>
      </c>
      <c r="AC25" s="47">
        <v>2448</v>
      </c>
      <c r="AD25" s="9">
        <v>0</v>
      </c>
      <c r="AE25" s="1">
        <v>0</v>
      </c>
      <c r="AF25" s="38">
        <f t="shared" si="4"/>
        <v>2504.52</v>
      </c>
      <c r="AG25" s="1">
        <f t="shared" si="4"/>
        <v>2448</v>
      </c>
      <c r="AH25" s="7">
        <f t="shared" si="5"/>
        <v>56.51999999999998</v>
      </c>
      <c r="AI25" s="9">
        <v>0</v>
      </c>
      <c r="AJ25" s="9"/>
      <c r="AK25" s="9"/>
      <c r="AL25" s="1">
        <f t="shared" si="6"/>
        <v>0</v>
      </c>
      <c r="AM25" s="1">
        <v>0</v>
      </c>
      <c r="AN25" s="9"/>
      <c r="AO25" s="9">
        <v>0</v>
      </c>
      <c r="AP25" s="8"/>
      <c r="AQ25" s="8"/>
      <c r="AR25" s="3">
        <f t="shared" si="8"/>
        <v>0</v>
      </c>
      <c r="AS25" s="2"/>
      <c r="AT25" s="9">
        <f t="shared" si="9"/>
        <v>0</v>
      </c>
      <c r="AU25" s="9">
        <v>0</v>
      </c>
      <c r="AV25" s="9"/>
      <c r="AW25" s="4"/>
      <c r="AX25" s="3">
        <f t="shared" si="10"/>
        <v>0</v>
      </c>
    </row>
    <row r="26" spans="1:50" ht="11.25">
      <c r="A26" s="16">
        <v>21</v>
      </c>
      <c r="B26" s="20" t="s">
        <v>94</v>
      </c>
      <c r="C26" s="20" t="s">
        <v>21</v>
      </c>
      <c r="D26" s="8">
        <v>2250</v>
      </c>
      <c r="E26" s="9">
        <v>2244</v>
      </c>
      <c r="F26" s="8">
        <v>2400</v>
      </c>
      <c r="G26" s="9">
        <v>2390.2</v>
      </c>
      <c r="H26" s="8">
        <v>2437.19</v>
      </c>
      <c r="I26" s="1">
        <v>2443.2</v>
      </c>
      <c r="J26" s="5">
        <f t="shared" si="0"/>
        <v>7087.1900000000005</v>
      </c>
      <c r="K26" s="6">
        <f t="shared" si="0"/>
        <v>7077.4</v>
      </c>
      <c r="L26" s="37">
        <f t="shared" si="1"/>
        <v>9.790000000000873</v>
      </c>
      <c r="M26" s="1">
        <v>2514</v>
      </c>
      <c r="N26" s="1">
        <v>2510.8</v>
      </c>
      <c r="O26" s="1">
        <v>2514</v>
      </c>
      <c r="P26" s="1">
        <v>215.4</v>
      </c>
      <c r="Q26" s="1">
        <f t="shared" si="11"/>
        <v>2729.4</v>
      </c>
      <c r="R26" s="1">
        <v>2728.2</v>
      </c>
      <c r="S26" s="9">
        <v>2551.44</v>
      </c>
      <c r="T26" s="1">
        <v>2535.4</v>
      </c>
      <c r="U26" s="38">
        <f t="shared" si="2"/>
        <v>7794.84</v>
      </c>
      <c r="V26" s="1">
        <f t="shared" si="2"/>
        <v>7774.4</v>
      </c>
      <c r="W26" s="37">
        <f t="shared" si="3"/>
        <v>20.44000000000051</v>
      </c>
      <c r="X26" s="47">
        <v>2400</v>
      </c>
      <c r="Y26" s="47">
        <v>2392.8</v>
      </c>
      <c r="Z26" s="9">
        <v>2504.52</v>
      </c>
      <c r="AA26" s="47">
        <v>266.4</v>
      </c>
      <c r="AB26" s="9">
        <f t="shared" si="12"/>
        <v>2770.92</v>
      </c>
      <c r="AC26" s="47">
        <v>2684.8</v>
      </c>
      <c r="AD26" s="9">
        <v>2504.52</v>
      </c>
      <c r="AE26" s="1">
        <v>2291.6</v>
      </c>
      <c r="AF26" s="38">
        <f t="shared" si="4"/>
        <v>7675.4400000000005</v>
      </c>
      <c r="AG26" s="1">
        <f t="shared" si="4"/>
        <v>7369.200000000001</v>
      </c>
      <c r="AH26" s="7">
        <f t="shared" si="5"/>
        <v>306.2399999999998</v>
      </c>
      <c r="AI26" s="9">
        <v>2504.52</v>
      </c>
      <c r="AJ26" s="9">
        <v>130.8</v>
      </c>
      <c r="AK26" s="9"/>
      <c r="AL26" s="1">
        <f t="shared" si="6"/>
        <v>2635.32</v>
      </c>
      <c r="AM26" s="1">
        <v>2529.6</v>
      </c>
      <c r="AN26" s="9">
        <f t="shared" si="7"/>
        <v>105.72000000000025</v>
      </c>
      <c r="AO26" s="9">
        <v>2504.52</v>
      </c>
      <c r="AP26" s="8">
        <v>67.2</v>
      </c>
      <c r="AQ26" s="8"/>
      <c r="AR26" s="3">
        <f t="shared" si="8"/>
        <v>2571.72</v>
      </c>
      <c r="AS26" s="2"/>
      <c r="AT26" s="9">
        <f t="shared" si="9"/>
        <v>2571.72</v>
      </c>
      <c r="AU26" s="9">
        <v>2504.52</v>
      </c>
      <c r="AV26" s="9">
        <v>45</v>
      </c>
      <c r="AW26" s="4"/>
      <c r="AX26" s="3">
        <f t="shared" si="10"/>
        <v>2549.52</v>
      </c>
    </row>
    <row r="27" spans="1:50" ht="11.25">
      <c r="A27" s="18">
        <v>22</v>
      </c>
      <c r="B27" s="19" t="s">
        <v>17</v>
      </c>
      <c r="C27" s="19" t="s">
        <v>21</v>
      </c>
      <c r="D27" s="8">
        <v>1500</v>
      </c>
      <c r="E27" s="9">
        <v>1448</v>
      </c>
      <c r="F27" s="8">
        <v>1600</v>
      </c>
      <c r="G27" s="9">
        <v>1598</v>
      </c>
      <c r="H27" s="8">
        <v>1624.79</v>
      </c>
      <c r="I27" s="1">
        <v>1674</v>
      </c>
      <c r="J27" s="5">
        <f t="shared" si="0"/>
        <v>4724.79</v>
      </c>
      <c r="K27" s="6">
        <f t="shared" si="0"/>
        <v>4720</v>
      </c>
      <c r="L27" s="37">
        <f t="shared" si="1"/>
        <v>4.789999999999964</v>
      </c>
      <c r="M27" s="1">
        <v>1676</v>
      </c>
      <c r="N27" s="1">
        <v>1664</v>
      </c>
      <c r="O27" s="1">
        <v>1676</v>
      </c>
      <c r="P27" s="1">
        <v>143.6</v>
      </c>
      <c r="Q27" s="1">
        <f t="shared" si="11"/>
        <v>1819.6</v>
      </c>
      <c r="R27" s="1">
        <v>1667</v>
      </c>
      <c r="S27" s="47">
        <v>1700.96</v>
      </c>
      <c r="T27" s="1">
        <v>1862</v>
      </c>
      <c r="U27" s="38">
        <f t="shared" si="2"/>
        <v>5196.5599999999995</v>
      </c>
      <c r="V27" s="1">
        <f t="shared" si="2"/>
        <v>5193</v>
      </c>
      <c r="W27" s="37">
        <f t="shared" si="3"/>
        <v>3.5599999999994907</v>
      </c>
      <c r="X27" s="47">
        <v>1600</v>
      </c>
      <c r="Y27" s="47">
        <v>1600</v>
      </c>
      <c r="Z27" s="9">
        <v>1669.68</v>
      </c>
      <c r="AA27" s="47">
        <v>177.6</v>
      </c>
      <c r="AB27" s="9">
        <f t="shared" si="12"/>
        <v>1847.28</v>
      </c>
      <c r="AC27" s="47">
        <v>1594</v>
      </c>
      <c r="AD27" s="9">
        <v>1669.68</v>
      </c>
      <c r="AE27" s="1">
        <v>1917</v>
      </c>
      <c r="AF27" s="38">
        <f t="shared" si="4"/>
        <v>5116.96</v>
      </c>
      <c r="AG27" s="1">
        <f t="shared" si="4"/>
        <v>5111</v>
      </c>
      <c r="AH27" s="37">
        <f t="shared" si="5"/>
        <v>5.960000000000036</v>
      </c>
      <c r="AI27" s="9">
        <v>1669.68</v>
      </c>
      <c r="AJ27" s="9">
        <v>87.2</v>
      </c>
      <c r="AK27" s="9">
        <v>327.6</v>
      </c>
      <c r="AL27" s="1">
        <f t="shared" si="6"/>
        <v>2084.48</v>
      </c>
      <c r="AM27" s="1">
        <v>1922</v>
      </c>
      <c r="AN27" s="9">
        <f t="shared" si="7"/>
        <v>162.48000000000002</v>
      </c>
      <c r="AO27" s="9">
        <v>1669.68</v>
      </c>
      <c r="AP27" s="8">
        <v>44.8</v>
      </c>
      <c r="AQ27" s="8"/>
      <c r="AR27" s="3">
        <f t="shared" si="8"/>
        <v>1714.48</v>
      </c>
      <c r="AS27" s="2"/>
      <c r="AT27" s="9">
        <f t="shared" si="9"/>
        <v>1714.48</v>
      </c>
      <c r="AU27" s="9">
        <v>1669.68</v>
      </c>
      <c r="AV27" s="9">
        <v>30</v>
      </c>
      <c r="AW27" s="4"/>
      <c r="AX27" s="3">
        <f t="shared" si="10"/>
        <v>1699.68</v>
      </c>
    </row>
    <row r="28" spans="1:50" ht="11.25">
      <c r="A28" s="16">
        <v>23</v>
      </c>
      <c r="B28" s="19" t="s">
        <v>4</v>
      </c>
      <c r="C28" s="19" t="s">
        <v>21</v>
      </c>
      <c r="D28" s="8">
        <v>1500</v>
      </c>
      <c r="E28" s="9">
        <v>1476</v>
      </c>
      <c r="F28" s="8">
        <v>1600</v>
      </c>
      <c r="G28" s="9">
        <v>1586</v>
      </c>
      <c r="H28" s="8">
        <v>1624.79</v>
      </c>
      <c r="I28" s="1">
        <v>1640</v>
      </c>
      <c r="J28" s="5">
        <f t="shared" si="0"/>
        <v>4724.79</v>
      </c>
      <c r="K28" s="6">
        <f t="shared" si="0"/>
        <v>4702</v>
      </c>
      <c r="L28" s="37">
        <f t="shared" si="1"/>
        <v>22.789999999999964</v>
      </c>
      <c r="M28" s="1">
        <v>1676</v>
      </c>
      <c r="N28" s="1">
        <v>1674</v>
      </c>
      <c r="O28" s="1">
        <v>1676</v>
      </c>
      <c r="P28" s="1">
        <v>143.6</v>
      </c>
      <c r="Q28" s="1">
        <f t="shared" si="11"/>
        <v>1819.6</v>
      </c>
      <c r="R28" s="1">
        <v>1649</v>
      </c>
      <c r="S28" s="9">
        <v>1700.96</v>
      </c>
      <c r="T28" s="1">
        <v>1822</v>
      </c>
      <c r="U28" s="38">
        <f t="shared" si="2"/>
        <v>5196.5599999999995</v>
      </c>
      <c r="V28" s="1">
        <f t="shared" si="2"/>
        <v>5145</v>
      </c>
      <c r="W28" s="7">
        <f t="shared" si="3"/>
        <v>51.55999999999949</v>
      </c>
      <c r="X28" s="47">
        <v>1600</v>
      </c>
      <c r="Y28" s="47">
        <v>1594</v>
      </c>
      <c r="Z28" s="9">
        <v>1669.68</v>
      </c>
      <c r="AA28" s="47"/>
      <c r="AB28" s="9">
        <f t="shared" si="12"/>
        <v>1669.68</v>
      </c>
      <c r="AC28" s="47">
        <v>1579</v>
      </c>
      <c r="AD28" s="9">
        <v>1669.68</v>
      </c>
      <c r="AE28" s="1">
        <v>1752</v>
      </c>
      <c r="AF28" s="38">
        <f t="shared" si="4"/>
        <v>4939.360000000001</v>
      </c>
      <c r="AG28" s="1">
        <f t="shared" si="4"/>
        <v>4925</v>
      </c>
      <c r="AH28" s="37">
        <f t="shared" si="5"/>
        <v>14.360000000000582</v>
      </c>
      <c r="AI28" s="9">
        <v>1669.68</v>
      </c>
      <c r="AJ28" s="9">
        <v>87.2</v>
      </c>
      <c r="AK28" s="9">
        <v>327.6</v>
      </c>
      <c r="AL28" s="1">
        <f t="shared" si="6"/>
        <v>2084.48</v>
      </c>
      <c r="AM28" s="1">
        <v>1913</v>
      </c>
      <c r="AN28" s="9">
        <f t="shared" si="7"/>
        <v>171.48000000000002</v>
      </c>
      <c r="AO28" s="9">
        <v>1669.68</v>
      </c>
      <c r="AP28" s="8">
        <v>44.8</v>
      </c>
      <c r="AQ28" s="8"/>
      <c r="AR28" s="3">
        <f t="shared" si="8"/>
        <v>1714.48</v>
      </c>
      <c r="AS28" s="2"/>
      <c r="AT28" s="9">
        <f t="shared" si="9"/>
        <v>1714.48</v>
      </c>
      <c r="AU28" s="9">
        <v>1669.68</v>
      </c>
      <c r="AV28" s="9">
        <v>30</v>
      </c>
      <c r="AW28" s="4"/>
      <c r="AX28" s="3">
        <f t="shared" si="10"/>
        <v>1699.68</v>
      </c>
    </row>
    <row r="29" spans="1:50" ht="11.25">
      <c r="A29" s="18">
        <v>24</v>
      </c>
      <c r="B29" s="19" t="s">
        <v>5</v>
      </c>
      <c r="C29" s="19" t="s">
        <v>21</v>
      </c>
      <c r="D29" s="8">
        <v>1500</v>
      </c>
      <c r="E29" s="9">
        <v>1476</v>
      </c>
      <c r="F29" s="8">
        <v>1600</v>
      </c>
      <c r="G29" s="9">
        <v>1439</v>
      </c>
      <c r="H29" s="8">
        <v>1624.79</v>
      </c>
      <c r="I29" s="1">
        <v>1804</v>
      </c>
      <c r="J29" s="5">
        <f t="shared" si="0"/>
        <v>4724.79</v>
      </c>
      <c r="K29" s="6">
        <f t="shared" si="0"/>
        <v>4719</v>
      </c>
      <c r="L29" s="37">
        <f t="shared" si="1"/>
        <v>5.789999999999964</v>
      </c>
      <c r="M29" s="1">
        <v>1676</v>
      </c>
      <c r="N29" s="1">
        <v>1583</v>
      </c>
      <c r="O29" s="1">
        <v>1676</v>
      </c>
      <c r="P29" s="1">
        <v>143.6</v>
      </c>
      <c r="Q29" s="1">
        <f t="shared" si="11"/>
        <v>1819.6</v>
      </c>
      <c r="R29" s="1">
        <v>1803</v>
      </c>
      <c r="S29" s="47">
        <v>1700.96</v>
      </c>
      <c r="T29" s="1">
        <v>1804</v>
      </c>
      <c r="U29" s="38">
        <f t="shared" si="2"/>
        <v>5196.5599999999995</v>
      </c>
      <c r="V29" s="1">
        <f t="shared" si="2"/>
        <v>5190</v>
      </c>
      <c r="W29" s="37">
        <f t="shared" si="3"/>
        <v>6.559999999999491</v>
      </c>
      <c r="X29" s="47">
        <v>1600</v>
      </c>
      <c r="Y29" s="47">
        <v>1582</v>
      </c>
      <c r="Z29" s="9">
        <v>1669.68</v>
      </c>
      <c r="AA29" s="47">
        <v>177.6</v>
      </c>
      <c r="AB29" s="9">
        <f t="shared" si="12"/>
        <v>1847.28</v>
      </c>
      <c r="AC29" s="47">
        <v>1790</v>
      </c>
      <c r="AD29" s="9">
        <v>1669.68</v>
      </c>
      <c r="AE29" s="1">
        <v>1699</v>
      </c>
      <c r="AF29" s="38">
        <f t="shared" si="4"/>
        <v>5116.96</v>
      </c>
      <c r="AG29" s="1">
        <f t="shared" si="4"/>
        <v>5071</v>
      </c>
      <c r="AH29" s="7">
        <f t="shared" si="5"/>
        <v>45.960000000000036</v>
      </c>
      <c r="AI29" s="9">
        <v>1669.68</v>
      </c>
      <c r="AJ29" s="9">
        <v>87.2</v>
      </c>
      <c r="AK29" s="9"/>
      <c r="AL29" s="1">
        <f t="shared" si="6"/>
        <v>1756.88</v>
      </c>
      <c r="AM29" s="1">
        <v>1731</v>
      </c>
      <c r="AN29" s="39">
        <f t="shared" si="7"/>
        <v>25.88000000000011</v>
      </c>
      <c r="AO29" s="9">
        <v>1669.68</v>
      </c>
      <c r="AP29" s="8">
        <v>44.8</v>
      </c>
      <c r="AQ29" s="8">
        <v>205.12</v>
      </c>
      <c r="AR29" s="3">
        <f t="shared" si="8"/>
        <v>1919.6</v>
      </c>
      <c r="AS29" s="2"/>
      <c r="AT29" s="9">
        <f t="shared" si="9"/>
        <v>1919.6</v>
      </c>
      <c r="AU29" s="9">
        <v>1669.68</v>
      </c>
      <c r="AV29" s="9">
        <v>30</v>
      </c>
      <c r="AW29" s="4"/>
      <c r="AX29" s="3">
        <f t="shared" si="10"/>
        <v>1699.68</v>
      </c>
    </row>
    <row r="30" spans="1:50" ht="11.25">
      <c r="A30" s="16">
        <v>25</v>
      </c>
      <c r="B30" s="30" t="s">
        <v>117</v>
      </c>
      <c r="C30" s="20" t="s">
        <v>21</v>
      </c>
      <c r="D30" s="8">
        <v>2250</v>
      </c>
      <c r="E30" s="9">
        <v>2236</v>
      </c>
      <c r="F30" s="8">
        <v>2400</v>
      </c>
      <c r="G30" s="9">
        <v>2119.8</v>
      </c>
      <c r="H30" s="8">
        <v>2437.19</v>
      </c>
      <c r="I30" s="1">
        <v>2715.8</v>
      </c>
      <c r="J30" s="5">
        <f t="shared" si="0"/>
        <v>7087.1900000000005</v>
      </c>
      <c r="K30" s="6">
        <f t="shared" si="0"/>
        <v>7071.6</v>
      </c>
      <c r="L30" s="37">
        <f t="shared" si="1"/>
        <v>15.590000000000146</v>
      </c>
      <c r="M30" s="1">
        <v>2514</v>
      </c>
      <c r="N30" s="1">
        <v>2403</v>
      </c>
      <c r="O30" s="1">
        <v>2514</v>
      </c>
      <c r="P30" s="1">
        <v>215.4</v>
      </c>
      <c r="Q30" s="1">
        <f>O30+P30+209.8</f>
        <v>2939.2000000000003</v>
      </c>
      <c r="R30" s="1">
        <v>2939.2</v>
      </c>
      <c r="S30" s="9">
        <f>2551.44-209.8</f>
        <v>2341.64</v>
      </c>
      <c r="T30" s="1">
        <v>2392</v>
      </c>
      <c r="U30" s="38">
        <f t="shared" si="2"/>
        <v>7794.84</v>
      </c>
      <c r="V30" s="1">
        <f t="shared" si="2"/>
        <v>7734.2</v>
      </c>
      <c r="W30" s="7">
        <f t="shared" si="3"/>
        <v>60.64000000000033</v>
      </c>
      <c r="X30" s="47">
        <f>2400+83</f>
        <v>2483</v>
      </c>
      <c r="Y30" s="47">
        <v>2483</v>
      </c>
      <c r="Z30" s="9">
        <f>2504.52-83</f>
        <v>2421.52</v>
      </c>
      <c r="AA30" s="47"/>
      <c r="AB30" s="9">
        <f>Z30+AA30+45.48</f>
        <v>2467</v>
      </c>
      <c r="AC30" s="47">
        <v>2467</v>
      </c>
      <c r="AD30" s="9">
        <f>2504.52-45.48</f>
        <v>2459.04</v>
      </c>
      <c r="AE30" s="1">
        <v>2358</v>
      </c>
      <c r="AF30" s="38">
        <f t="shared" si="4"/>
        <v>7409.04</v>
      </c>
      <c r="AG30" s="1">
        <f t="shared" si="4"/>
        <v>7308</v>
      </c>
      <c r="AH30" s="7">
        <f t="shared" si="5"/>
        <v>101.03999999999996</v>
      </c>
      <c r="AI30" s="9">
        <v>2504.52</v>
      </c>
      <c r="AJ30" s="9">
        <v>130.8</v>
      </c>
      <c r="AK30" s="9"/>
      <c r="AL30" s="1">
        <f t="shared" si="6"/>
        <v>2635.32</v>
      </c>
      <c r="AM30" s="1">
        <v>2524</v>
      </c>
      <c r="AN30" s="9">
        <f t="shared" si="7"/>
        <v>111.32000000000016</v>
      </c>
      <c r="AO30" s="9">
        <v>2504.52</v>
      </c>
      <c r="AP30" s="8">
        <v>67.2</v>
      </c>
      <c r="AQ30" s="8"/>
      <c r="AR30" s="3">
        <f t="shared" si="8"/>
        <v>2571.72</v>
      </c>
      <c r="AS30" s="2"/>
      <c r="AT30" s="9">
        <f t="shared" si="9"/>
        <v>2571.72</v>
      </c>
      <c r="AU30" s="9">
        <v>2504.52</v>
      </c>
      <c r="AV30" s="9">
        <v>45</v>
      </c>
      <c r="AW30" s="4"/>
      <c r="AX30" s="3">
        <f t="shared" si="10"/>
        <v>2549.52</v>
      </c>
    </row>
    <row r="31" spans="1:50" ht="11.25">
      <c r="A31" s="18">
        <v>26</v>
      </c>
      <c r="B31" s="19" t="s">
        <v>15</v>
      </c>
      <c r="C31" s="19" t="s">
        <v>21</v>
      </c>
      <c r="D31" s="8">
        <f>1500+46</f>
        <v>1546</v>
      </c>
      <c r="E31" s="9">
        <v>1546</v>
      </c>
      <c r="F31" s="8">
        <f>1600-46</f>
        <v>1554</v>
      </c>
      <c r="G31" s="9">
        <v>0</v>
      </c>
      <c r="H31" s="8">
        <v>1624.79</v>
      </c>
      <c r="I31" s="1">
        <v>3173</v>
      </c>
      <c r="J31" s="5">
        <f t="shared" si="0"/>
        <v>4724.79</v>
      </c>
      <c r="K31" s="6">
        <f t="shared" si="0"/>
        <v>4719</v>
      </c>
      <c r="L31" s="37">
        <f t="shared" si="1"/>
        <v>5.789999999999964</v>
      </c>
      <c r="M31" s="1">
        <v>1676</v>
      </c>
      <c r="N31" s="1">
        <v>1669</v>
      </c>
      <c r="O31" s="1">
        <v>1676</v>
      </c>
      <c r="P31" s="1">
        <v>143.6</v>
      </c>
      <c r="Q31" s="1">
        <f t="shared" si="11"/>
        <v>1819.6</v>
      </c>
      <c r="R31" s="1">
        <v>1610</v>
      </c>
      <c r="S31" s="47">
        <v>1700.96</v>
      </c>
      <c r="T31" s="1">
        <v>1835</v>
      </c>
      <c r="U31" s="38">
        <f t="shared" si="2"/>
        <v>5196.5599999999995</v>
      </c>
      <c r="V31" s="1">
        <f t="shared" si="2"/>
        <v>5114</v>
      </c>
      <c r="W31" s="7">
        <f t="shared" si="3"/>
        <v>82.55999999999949</v>
      </c>
      <c r="X31" s="47">
        <v>1600</v>
      </c>
      <c r="Y31" s="47">
        <v>1514</v>
      </c>
      <c r="Z31" s="9">
        <v>1669.68</v>
      </c>
      <c r="AA31" s="47"/>
      <c r="AB31" s="9">
        <f t="shared" si="12"/>
        <v>1669.68</v>
      </c>
      <c r="AC31" s="47">
        <v>1638</v>
      </c>
      <c r="AD31" s="9">
        <v>1669.68</v>
      </c>
      <c r="AE31" s="1">
        <v>1768</v>
      </c>
      <c r="AF31" s="38">
        <f t="shared" si="4"/>
        <v>4939.360000000001</v>
      </c>
      <c r="AG31" s="1">
        <f t="shared" si="4"/>
        <v>4920</v>
      </c>
      <c r="AH31" s="37">
        <f t="shared" si="5"/>
        <v>19.360000000000582</v>
      </c>
      <c r="AI31" s="9">
        <v>1669.68</v>
      </c>
      <c r="AJ31" s="9">
        <v>87.2</v>
      </c>
      <c r="AK31" s="9">
        <v>327.6</v>
      </c>
      <c r="AL31" s="1">
        <f t="shared" si="6"/>
        <v>2084.48</v>
      </c>
      <c r="AM31" s="1">
        <v>2083</v>
      </c>
      <c r="AN31" s="39">
        <f t="shared" si="7"/>
        <v>1.4800000000000182</v>
      </c>
      <c r="AO31" s="9">
        <v>1669.68</v>
      </c>
      <c r="AP31" s="8">
        <v>44.8</v>
      </c>
      <c r="AQ31" s="8">
        <v>205.12</v>
      </c>
      <c r="AR31" s="3">
        <f t="shared" si="8"/>
        <v>1919.6</v>
      </c>
      <c r="AS31" s="2"/>
      <c r="AT31" s="9">
        <f t="shared" si="9"/>
        <v>1919.6</v>
      </c>
      <c r="AU31" s="9">
        <v>1669.68</v>
      </c>
      <c r="AV31" s="9">
        <v>30</v>
      </c>
      <c r="AW31" s="4"/>
      <c r="AX31" s="3">
        <f t="shared" si="10"/>
        <v>1699.68</v>
      </c>
    </row>
    <row r="32" spans="1:50" ht="11.25">
      <c r="A32" s="16">
        <v>27</v>
      </c>
      <c r="B32" s="19" t="s">
        <v>128</v>
      </c>
      <c r="C32" s="19" t="s">
        <v>21</v>
      </c>
      <c r="D32" s="8">
        <f>1500+84</f>
        <v>1584</v>
      </c>
      <c r="E32" s="9">
        <v>1584</v>
      </c>
      <c r="F32" s="8">
        <f>1600-84</f>
        <v>1516</v>
      </c>
      <c r="G32" s="9">
        <v>0</v>
      </c>
      <c r="H32" s="8">
        <v>1624.79</v>
      </c>
      <c r="I32" s="1">
        <v>3053</v>
      </c>
      <c r="J32" s="5">
        <f t="shared" si="0"/>
        <v>4724.79</v>
      </c>
      <c r="K32" s="6">
        <f t="shared" si="0"/>
        <v>4637</v>
      </c>
      <c r="L32" s="40">
        <f t="shared" si="1"/>
        <v>87.78999999999996</v>
      </c>
      <c r="M32" s="1">
        <v>1676</v>
      </c>
      <c r="N32" s="1">
        <v>1647</v>
      </c>
      <c r="O32" s="1">
        <v>1676</v>
      </c>
      <c r="P32" s="1"/>
      <c r="Q32" s="1">
        <f t="shared" si="11"/>
        <v>1676</v>
      </c>
      <c r="R32" s="1">
        <v>1670</v>
      </c>
      <c r="S32" s="9">
        <v>1700.96</v>
      </c>
      <c r="T32" s="1">
        <v>1711</v>
      </c>
      <c r="U32" s="38">
        <f t="shared" si="2"/>
        <v>5052.96</v>
      </c>
      <c r="V32" s="1">
        <f t="shared" si="2"/>
        <v>5028</v>
      </c>
      <c r="W32" s="37">
        <f t="shared" si="3"/>
        <v>24.960000000000036</v>
      </c>
      <c r="X32" s="47">
        <v>1600</v>
      </c>
      <c r="Y32" s="47">
        <v>1523</v>
      </c>
      <c r="Z32" s="9">
        <v>1669.68</v>
      </c>
      <c r="AA32" s="47">
        <v>177.6</v>
      </c>
      <c r="AB32" s="9">
        <f t="shared" si="12"/>
        <v>1847.28</v>
      </c>
      <c r="AC32" s="47">
        <v>1697</v>
      </c>
      <c r="AD32" s="9">
        <v>1669.68</v>
      </c>
      <c r="AE32" s="1">
        <v>1874</v>
      </c>
      <c r="AF32" s="38">
        <f t="shared" si="4"/>
        <v>5116.96</v>
      </c>
      <c r="AG32" s="1">
        <f t="shared" si="4"/>
        <v>5094</v>
      </c>
      <c r="AH32" s="37">
        <f t="shared" si="5"/>
        <v>22.960000000000036</v>
      </c>
      <c r="AI32" s="9">
        <v>1669.68</v>
      </c>
      <c r="AJ32" s="9">
        <v>87.2</v>
      </c>
      <c r="AK32" s="9">
        <v>327.6</v>
      </c>
      <c r="AL32" s="1">
        <f t="shared" si="6"/>
        <v>2084.48</v>
      </c>
      <c r="AM32" s="1">
        <v>2017.8</v>
      </c>
      <c r="AN32" s="9">
        <f t="shared" si="7"/>
        <v>66.68000000000006</v>
      </c>
      <c r="AO32" s="9">
        <v>1669.68</v>
      </c>
      <c r="AP32" s="8">
        <v>44.8</v>
      </c>
      <c r="AQ32" s="8"/>
      <c r="AR32" s="3">
        <f t="shared" si="8"/>
        <v>1714.48</v>
      </c>
      <c r="AS32" s="10"/>
      <c r="AT32" s="9">
        <f t="shared" si="9"/>
        <v>1714.48</v>
      </c>
      <c r="AU32" s="9">
        <v>1669.68</v>
      </c>
      <c r="AV32" s="9">
        <v>30</v>
      </c>
      <c r="AW32" s="41"/>
      <c r="AX32" s="3">
        <f t="shared" si="10"/>
        <v>1699.68</v>
      </c>
    </row>
    <row r="33" spans="1:50" ht="11.25">
      <c r="A33" s="18">
        <v>28</v>
      </c>
      <c r="B33" s="20" t="s">
        <v>121</v>
      </c>
      <c r="C33" s="20" t="s">
        <v>21</v>
      </c>
      <c r="D33" s="8">
        <v>2250</v>
      </c>
      <c r="E33" s="9">
        <v>0</v>
      </c>
      <c r="F33" s="8">
        <v>2400</v>
      </c>
      <c r="G33" s="9">
        <v>2046</v>
      </c>
      <c r="H33" s="8">
        <v>2437.19</v>
      </c>
      <c r="I33" s="1">
        <v>5034</v>
      </c>
      <c r="J33" s="5">
        <f t="shared" si="0"/>
        <v>7087.1900000000005</v>
      </c>
      <c r="K33" s="6">
        <f t="shared" si="0"/>
        <v>7080</v>
      </c>
      <c r="L33" s="37">
        <f t="shared" si="1"/>
        <v>7.190000000000509</v>
      </c>
      <c r="M33" s="1">
        <v>2514</v>
      </c>
      <c r="N33" s="1">
        <v>0</v>
      </c>
      <c r="O33" s="1">
        <v>2514</v>
      </c>
      <c r="P33" s="1">
        <v>215.4</v>
      </c>
      <c r="Q33" s="1">
        <f t="shared" si="11"/>
        <v>2729.4</v>
      </c>
      <c r="R33" s="1">
        <v>2440</v>
      </c>
      <c r="S33" s="47">
        <v>2551.44</v>
      </c>
      <c r="T33" s="1">
        <v>5272</v>
      </c>
      <c r="U33" s="38">
        <f t="shared" si="2"/>
        <v>7794.84</v>
      </c>
      <c r="V33" s="1">
        <f t="shared" si="2"/>
        <v>7712</v>
      </c>
      <c r="W33" s="7">
        <f t="shared" si="3"/>
        <v>82.84000000000015</v>
      </c>
      <c r="X33" s="47">
        <v>2400</v>
      </c>
      <c r="Y33" s="47">
        <v>0</v>
      </c>
      <c r="Z33" s="9">
        <v>2504.52</v>
      </c>
      <c r="AA33" s="47"/>
      <c r="AB33" s="9">
        <f t="shared" si="12"/>
        <v>2504.52</v>
      </c>
      <c r="AC33" s="47">
        <v>2418</v>
      </c>
      <c r="AD33" s="9">
        <v>2504.52</v>
      </c>
      <c r="AE33" s="1">
        <v>4738</v>
      </c>
      <c r="AF33" s="38">
        <f t="shared" si="4"/>
        <v>7409.040000000001</v>
      </c>
      <c r="AG33" s="1">
        <f t="shared" si="4"/>
        <v>7156</v>
      </c>
      <c r="AH33" s="7">
        <f t="shared" si="5"/>
        <v>253.04000000000087</v>
      </c>
      <c r="AI33" s="9">
        <v>2504.52</v>
      </c>
      <c r="AJ33" s="9">
        <v>130.8</v>
      </c>
      <c r="AK33" s="9"/>
      <c r="AL33" s="1">
        <f t="shared" si="6"/>
        <v>2635.32</v>
      </c>
      <c r="AM33" s="1">
        <v>0</v>
      </c>
      <c r="AN33" s="9">
        <f t="shared" si="7"/>
        <v>2635.32</v>
      </c>
      <c r="AO33" s="9">
        <v>2504.52</v>
      </c>
      <c r="AP33" s="8">
        <v>67.2</v>
      </c>
      <c r="AQ33" s="8"/>
      <c r="AR33" s="3">
        <f t="shared" si="8"/>
        <v>2571.72</v>
      </c>
      <c r="AS33" s="2"/>
      <c r="AT33" s="9">
        <f t="shared" si="9"/>
        <v>2571.72</v>
      </c>
      <c r="AU33" s="9">
        <v>2504.52</v>
      </c>
      <c r="AV33" s="9">
        <v>45</v>
      </c>
      <c r="AW33" s="4"/>
      <c r="AX33" s="3">
        <f t="shared" si="10"/>
        <v>2549.52</v>
      </c>
    </row>
    <row r="34" spans="1:50" ht="11.25">
      <c r="A34" s="16">
        <v>29</v>
      </c>
      <c r="B34" s="19" t="s">
        <v>6</v>
      </c>
      <c r="C34" s="19" t="s">
        <v>20</v>
      </c>
      <c r="D34" s="8">
        <v>1875</v>
      </c>
      <c r="E34" s="9">
        <v>1863</v>
      </c>
      <c r="F34" s="8">
        <v>2000</v>
      </c>
      <c r="G34" s="9">
        <v>1973</v>
      </c>
      <c r="H34" s="8">
        <v>2030.98</v>
      </c>
      <c r="I34" s="1">
        <v>2063</v>
      </c>
      <c r="J34" s="5">
        <f t="shared" si="0"/>
        <v>5905.98</v>
      </c>
      <c r="K34" s="6">
        <f t="shared" si="0"/>
        <v>5899</v>
      </c>
      <c r="L34" s="37">
        <f t="shared" si="1"/>
        <v>6.979999999999563</v>
      </c>
      <c r="M34" s="1">
        <v>2095</v>
      </c>
      <c r="N34" s="1">
        <v>2095</v>
      </c>
      <c r="O34" s="1">
        <v>2095</v>
      </c>
      <c r="P34" s="1">
        <v>179.5</v>
      </c>
      <c r="Q34" s="1">
        <f t="shared" si="11"/>
        <v>2274.5</v>
      </c>
      <c r="R34" s="1">
        <v>2078</v>
      </c>
      <c r="S34" s="9">
        <v>2126.2</v>
      </c>
      <c r="T34" s="1">
        <v>2312</v>
      </c>
      <c r="U34" s="38">
        <f t="shared" si="2"/>
        <v>6495.7</v>
      </c>
      <c r="V34" s="1">
        <f t="shared" si="2"/>
        <v>6485</v>
      </c>
      <c r="W34" s="37">
        <f t="shared" si="3"/>
        <v>10.699999999999818</v>
      </c>
      <c r="X34" s="47">
        <v>2000</v>
      </c>
      <c r="Y34" s="47">
        <v>1999</v>
      </c>
      <c r="Z34" s="9">
        <v>2087.1</v>
      </c>
      <c r="AA34" s="47">
        <v>222.9</v>
      </c>
      <c r="AB34" s="9">
        <f t="shared" si="12"/>
        <v>2310</v>
      </c>
      <c r="AC34" s="47">
        <v>2001</v>
      </c>
      <c r="AD34" s="9">
        <v>2087.1</v>
      </c>
      <c r="AE34" s="1">
        <v>2257</v>
      </c>
      <c r="AF34" s="38">
        <f t="shared" si="4"/>
        <v>6397.1</v>
      </c>
      <c r="AG34" s="1">
        <f t="shared" si="4"/>
        <v>6257</v>
      </c>
      <c r="AH34" s="7">
        <f t="shared" si="5"/>
        <v>140.10000000000036</v>
      </c>
      <c r="AI34" s="9">
        <v>2087.1</v>
      </c>
      <c r="AJ34" s="9">
        <v>109</v>
      </c>
      <c r="AK34" s="9"/>
      <c r="AL34" s="1">
        <f t="shared" si="6"/>
        <v>2196.1</v>
      </c>
      <c r="AM34" s="1">
        <v>2184</v>
      </c>
      <c r="AN34" s="39">
        <f t="shared" si="7"/>
        <v>12.099999999999909</v>
      </c>
      <c r="AO34" s="9">
        <v>2087.1</v>
      </c>
      <c r="AP34" s="8">
        <v>56</v>
      </c>
      <c r="AQ34" s="8">
        <v>256.4</v>
      </c>
      <c r="AR34" s="3">
        <f t="shared" si="8"/>
        <v>2399.5</v>
      </c>
      <c r="AS34" s="2"/>
      <c r="AT34" s="9">
        <f t="shared" si="9"/>
        <v>2399.5</v>
      </c>
      <c r="AU34" s="9">
        <v>2087.1</v>
      </c>
      <c r="AV34" s="9">
        <v>37.5</v>
      </c>
      <c r="AW34" s="4"/>
      <c r="AX34" s="3">
        <f t="shared" si="10"/>
        <v>2124.6</v>
      </c>
    </row>
    <row r="35" spans="1:50" ht="11.25">
      <c r="A35" s="18">
        <v>30</v>
      </c>
      <c r="B35" s="19" t="s">
        <v>7</v>
      </c>
      <c r="C35" s="19" t="s">
        <v>22</v>
      </c>
      <c r="D35" s="8">
        <v>2250</v>
      </c>
      <c r="E35" s="9">
        <v>2244</v>
      </c>
      <c r="F35" s="8">
        <v>2400</v>
      </c>
      <c r="G35" s="9">
        <v>2397.8</v>
      </c>
      <c r="H35" s="8">
        <v>2437.18</v>
      </c>
      <c r="I35" s="1">
        <v>2440</v>
      </c>
      <c r="J35" s="5">
        <f t="shared" si="0"/>
        <v>7087.18</v>
      </c>
      <c r="K35" s="6">
        <f t="shared" si="0"/>
        <v>7081.8</v>
      </c>
      <c r="L35" s="37">
        <f t="shared" si="1"/>
        <v>5.380000000000109</v>
      </c>
      <c r="M35" s="1">
        <f>2514+2.2</f>
        <v>2516.2</v>
      </c>
      <c r="N35" s="1">
        <v>2516.2</v>
      </c>
      <c r="O35" s="1">
        <v>2514</v>
      </c>
      <c r="P35" s="1">
        <v>215.4</v>
      </c>
      <c r="Q35" s="1">
        <f>O35+P35-2.2</f>
        <v>2727.2000000000003</v>
      </c>
      <c r="R35" s="1">
        <v>2724</v>
      </c>
      <c r="S35" s="47">
        <v>2551.44</v>
      </c>
      <c r="T35" s="1">
        <v>2548.2</v>
      </c>
      <c r="U35" s="38">
        <f t="shared" si="2"/>
        <v>7794.84</v>
      </c>
      <c r="V35" s="1">
        <f t="shared" si="2"/>
        <v>7788.4</v>
      </c>
      <c r="W35" s="37">
        <f t="shared" si="3"/>
        <v>6.440000000000509</v>
      </c>
      <c r="X35" s="47">
        <v>2400</v>
      </c>
      <c r="Y35" s="47">
        <v>2313.2</v>
      </c>
      <c r="Z35" s="9">
        <v>2504.52</v>
      </c>
      <c r="AA35" s="47">
        <v>266.4</v>
      </c>
      <c r="AB35" s="9">
        <f t="shared" si="12"/>
        <v>2770.92</v>
      </c>
      <c r="AC35" s="47">
        <v>2496</v>
      </c>
      <c r="AD35" s="9">
        <v>2504.52</v>
      </c>
      <c r="AE35" s="1">
        <v>2864</v>
      </c>
      <c r="AF35" s="38">
        <f t="shared" si="4"/>
        <v>7675.4400000000005</v>
      </c>
      <c r="AG35" s="1">
        <f t="shared" si="4"/>
        <v>7673.2</v>
      </c>
      <c r="AH35" s="37">
        <f t="shared" si="5"/>
        <v>2.240000000000691</v>
      </c>
      <c r="AI35" s="9">
        <v>2504.52</v>
      </c>
      <c r="AJ35" s="9">
        <v>130.8</v>
      </c>
      <c r="AK35" s="9">
        <v>491.4</v>
      </c>
      <c r="AL35" s="1">
        <f t="shared" si="6"/>
        <v>3126.7200000000003</v>
      </c>
      <c r="AM35" s="1">
        <v>3123.2</v>
      </c>
      <c r="AN35" s="39">
        <f t="shared" si="7"/>
        <v>3.5200000000004366</v>
      </c>
      <c r="AO35" s="9">
        <v>2504.52</v>
      </c>
      <c r="AP35" s="8">
        <v>67.2</v>
      </c>
      <c r="AQ35" s="8">
        <v>307.68</v>
      </c>
      <c r="AR35" s="3">
        <f t="shared" si="8"/>
        <v>2879.3999999999996</v>
      </c>
      <c r="AS35" s="2"/>
      <c r="AT35" s="9">
        <f t="shared" si="9"/>
        <v>2879.3999999999996</v>
      </c>
      <c r="AU35" s="9">
        <v>2504.52</v>
      </c>
      <c r="AV35" s="9">
        <v>45</v>
      </c>
      <c r="AW35" s="4"/>
      <c r="AX35" s="3">
        <f t="shared" si="10"/>
        <v>2549.52</v>
      </c>
    </row>
    <row r="36" spans="1:50" ht="11.25">
      <c r="A36" s="16">
        <v>31</v>
      </c>
      <c r="B36" s="30" t="s">
        <v>122</v>
      </c>
      <c r="C36" s="44" t="s">
        <v>21</v>
      </c>
      <c r="D36" s="8">
        <f>2250+153.6</f>
        <v>2403.6</v>
      </c>
      <c r="E36" s="9">
        <v>2403.6</v>
      </c>
      <c r="F36" s="8">
        <f>2400-153.6+179.4</f>
        <v>2425.8</v>
      </c>
      <c r="G36" s="9">
        <v>2425.8</v>
      </c>
      <c r="H36" s="8">
        <f>2437.19-179.4</f>
        <v>2257.79</v>
      </c>
      <c r="I36" s="1">
        <v>2244</v>
      </c>
      <c r="J36" s="5">
        <f t="shared" si="0"/>
        <v>7087.19</v>
      </c>
      <c r="K36" s="6">
        <f t="shared" si="0"/>
        <v>7073.4</v>
      </c>
      <c r="L36" s="37">
        <f t="shared" si="1"/>
        <v>13.789999999999964</v>
      </c>
      <c r="M36" s="1">
        <f>2514+93.6</f>
        <v>2607.6</v>
      </c>
      <c r="N36" s="1">
        <v>2607.6</v>
      </c>
      <c r="O36" s="1">
        <v>2514</v>
      </c>
      <c r="P36" s="1">
        <v>215.4</v>
      </c>
      <c r="Q36" s="1">
        <f>O36+P36-93.6</f>
        <v>2635.8</v>
      </c>
      <c r="R36" s="1">
        <v>2301.6</v>
      </c>
      <c r="S36" s="9">
        <v>2551.44</v>
      </c>
      <c r="T36" s="1">
        <v>2833.8</v>
      </c>
      <c r="U36" s="38">
        <f t="shared" si="2"/>
        <v>7794.84</v>
      </c>
      <c r="V36" s="1">
        <f t="shared" si="2"/>
        <v>7743</v>
      </c>
      <c r="W36" s="7">
        <f t="shared" si="3"/>
        <v>51.840000000000146</v>
      </c>
      <c r="X36" s="47">
        <f>2400+207.6</f>
        <v>2607.6</v>
      </c>
      <c r="Y36" s="47">
        <v>2607.6</v>
      </c>
      <c r="Z36" s="9">
        <f>2504.52-207.6</f>
        <v>2296.92</v>
      </c>
      <c r="AA36" s="47"/>
      <c r="AB36" s="9">
        <f>Z36+AA36+151.08</f>
        <v>2448</v>
      </c>
      <c r="AC36" s="47">
        <v>2448</v>
      </c>
      <c r="AD36" s="9">
        <f>2504.52-151.08</f>
        <v>2353.44</v>
      </c>
      <c r="AE36" s="1">
        <v>2199.8</v>
      </c>
      <c r="AF36" s="38">
        <f t="shared" si="4"/>
        <v>7409.040000000001</v>
      </c>
      <c r="AG36" s="1">
        <f t="shared" si="4"/>
        <v>7255.400000000001</v>
      </c>
      <c r="AH36" s="7">
        <f t="shared" si="5"/>
        <v>153.64000000000033</v>
      </c>
      <c r="AI36" s="9">
        <v>2504.52</v>
      </c>
      <c r="AJ36" s="9">
        <v>130.8</v>
      </c>
      <c r="AK36" s="9"/>
      <c r="AL36" s="1">
        <f t="shared" si="6"/>
        <v>2635.32</v>
      </c>
      <c r="AM36" s="1">
        <v>2607.6</v>
      </c>
      <c r="AN36" s="39">
        <f t="shared" si="7"/>
        <v>27.720000000000255</v>
      </c>
      <c r="AO36" s="9">
        <v>2504.52</v>
      </c>
      <c r="AP36" s="8">
        <v>67.2</v>
      </c>
      <c r="AQ36" s="8">
        <v>307.68</v>
      </c>
      <c r="AR36" s="3">
        <f t="shared" si="8"/>
        <v>2879.3999999999996</v>
      </c>
      <c r="AS36" s="2"/>
      <c r="AT36" s="9">
        <f t="shared" si="9"/>
        <v>2879.3999999999996</v>
      </c>
      <c r="AU36" s="9">
        <v>2504.52</v>
      </c>
      <c r="AV36" s="9">
        <v>45</v>
      </c>
      <c r="AW36" s="4"/>
      <c r="AX36" s="3">
        <f t="shared" si="10"/>
        <v>2549.52</v>
      </c>
    </row>
    <row r="37" spans="1:50" ht="11.25">
      <c r="A37" s="18">
        <v>32</v>
      </c>
      <c r="B37" s="23" t="s">
        <v>92</v>
      </c>
      <c r="C37" s="23" t="s">
        <v>21</v>
      </c>
      <c r="D37" s="8">
        <f>2250+175.8</f>
        <v>2425.8</v>
      </c>
      <c r="E37" s="9">
        <v>2425.8</v>
      </c>
      <c r="F37" s="8">
        <f>2400-175.8+77.4</f>
        <v>2301.6</v>
      </c>
      <c r="G37" s="9">
        <v>2301.6</v>
      </c>
      <c r="H37" s="8">
        <f>2437.19-77.4</f>
        <v>2359.79</v>
      </c>
      <c r="I37" s="1">
        <v>2346</v>
      </c>
      <c r="J37" s="5">
        <f t="shared" si="0"/>
        <v>7087.19</v>
      </c>
      <c r="K37" s="6">
        <f t="shared" si="0"/>
        <v>7073.4</v>
      </c>
      <c r="L37" s="37">
        <f t="shared" si="1"/>
        <v>13.789999999999964</v>
      </c>
      <c r="M37" s="1">
        <f>2514+93.6</f>
        <v>2607.6</v>
      </c>
      <c r="N37" s="1">
        <v>2607.6</v>
      </c>
      <c r="O37" s="1">
        <v>2514</v>
      </c>
      <c r="P37" s="1">
        <v>215.4</v>
      </c>
      <c r="Q37" s="1">
        <f>O37+P37-93.6</f>
        <v>2635.8</v>
      </c>
      <c r="R37" s="1">
        <v>2607.6</v>
      </c>
      <c r="S37" s="47">
        <v>2551.44</v>
      </c>
      <c r="T37" s="1">
        <v>2527.8</v>
      </c>
      <c r="U37" s="38">
        <f t="shared" si="2"/>
        <v>7794.84</v>
      </c>
      <c r="V37" s="1">
        <f t="shared" si="2"/>
        <v>7743</v>
      </c>
      <c r="W37" s="7">
        <f t="shared" si="3"/>
        <v>51.840000000000146</v>
      </c>
      <c r="X37" s="47">
        <f>2400+207.6</f>
        <v>2607.6</v>
      </c>
      <c r="Y37" s="47">
        <v>2607.6</v>
      </c>
      <c r="Z37" s="9">
        <f>2504.52-207.6</f>
        <v>2296.92</v>
      </c>
      <c r="AA37" s="47"/>
      <c r="AB37" s="9">
        <f>Z37+AA37+208.68</f>
        <v>2505.6</v>
      </c>
      <c r="AC37" s="47">
        <v>2505.6</v>
      </c>
      <c r="AD37" s="9">
        <f>2504.52-208.68</f>
        <v>2295.84</v>
      </c>
      <c r="AE37" s="1">
        <v>2017.8</v>
      </c>
      <c r="AF37" s="38">
        <f t="shared" si="4"/>
        <v>7409.04</v>
      </c>
      <c r="AG37" s="1">
        <f t="shared" si="4"/>
        <v>7131</v>
      </c>
      <c r="AH37" s="7">
        <f t="shared" si="5"/>
        <v>278.03999999999996</v>
      </c>
      <c r="AI37" s="9">
        <v>2504.52</v>
      </c>
      <c r="AJ37" s="9">
        <v>130.8</v>
      </c>
      <c r="AK37" s="9"/>
      <c r="AL37" s="1">
        <f t="shared" si="6"/>
        <v>2635.32</v>
      </c>
      <c r="AM37" s="1">
        <v>2629.8</v>
      </c>
      <c r="AN37" s="39">
        <f t="shared" si="7"/>
        <v>5.519999999999982</v>
      </c>
      <c r="AO37" s="9">
        <v>2504.52</v>
      </c>
      <c r="AP37" s="8">
        <v>67.2</v>
      </c>
      <c r="AQ37" s="8">
        <v>307.68</v>
      </c>
      <c r="AR37" s="3">
        <f t="shared" si="8"/>
        <v>2879.3999999999996</v>
      </c>
      <c r="AS37" s="2"/>
      <c r="AT37" s="9">
        <f t="shared" si="9"/>
        <v>2879.3999999999996</v>
      </c>
      <c r="AU37" s="9">
        <v>2504.52</v>
      </c>
      <c r="AV37" s="9">
        <v>45</v>
      </c>
      <c r="AW37" s="4"/>
      <c r="AX37" s="3">
        <f t="shared" si="10"/>
        <v>2549.52</v>
      </c>
    </row>
    <row r="38" spans="1:50" ht="11.25">
      <c r="A38" s="16">
        <v>33</v>
      </c>
      <c r="B38" s="24" t="s">
        <v>109</v>
      </c>
      <c r="C38" s="25" t="s">
        <v>21</v>
      </c>
      <c r="D38" s="8">
        <v>1500</v>
      </c>
      <c r="E38" s="9">
        <v>1488</v>
      </c>
      <c r="F38" s="8">
        <v>1600</v>
      </c>
      <c r="G38" s="9">
        <v>1457</v>
      </c>
      <c r="H38" s="8">
        <v>1624.79</v>
      </c>
      <c r="I38" s="1">
        <v>1762</v>
      </c>
      <c r="J38" s="5">
        <f t="shared" si="0"/>
        <v>4724.79</v>
      </c>
      <c r="K38" s="6">
        <f t="shared" si="0"/>
        <v>4707</v>
      </c>
      <c r="L38" s="37">
        <f t="shared" si="1"/>
        <v>17.789999999999964</v>
      </c>
      <c r="M38" s="1">
        <v>1676</v>
      </c>
      <c r="N38" s="1">
        <v>1676</v>
      </c>
      <c r="O38" s="1">
        <v>1676</v>
      </c>
      <c r="P38" s="1">
        <v>143.6</v>
      </c>
      <c r="Q38" s="1">
        <f t="shared" si="11"/>
        <v>1819.6</v>
      </c>
      <c r="R38" s="1">
        <v>1806</v>
      </c>
      <c r="S38" s="9">
        <v>1700.96</v>
      </c>
      <c r="T38" s="1">
        <v>1696</v>
      </c>
      <c r="U38" s="38">
        <f t="shared" si="2"/>
        <v>5196.5599999999995</v>
      </c>
      <c r="V38" s="1">
        <f t="shared" si="2"/>
        <v>5178</v>
      </c>
      <c r="W38" s="37">
        <f t="shared" si="3"/>
        <v>18.55999999999949</v>
      </c>
      <c r="X38" s="47">
        <v>1600</v>
      </c>
      <c r="Y38" s="47">
        <v>1590</v>
      </c>
      <c r="Z38" s="9">
        <v>1669.68</v>
      </c>
      <c r="AA38" s="47">
        <v>177.6</v>
      </c>
      <c r="AB38" s="9">
        <f t="shared" si="12"/>
        <v>1847.28</v>
      </c>
      <c r="AC38" s="47">
        <v>0</v>
      </c>
      <c r="AD38" s="9">
        <v>1669.68</v>
      </c>
      <c r="AE38" s="1">
        <v>3470</v>
      </c>
      <c r="AF38" s="38">
        <f t="shared" si="4"/>
        <v>5116.96</v>
      </c>
      <c r="AG38" s="1">
        <f t="shared" si="4"/>
        <v>5060</v>
      </c>
      <c r="AH38" s="7">
        <f t="shared" si="5"/>
        <v>56.960000000000036</v>
      </c>
      <c r="AI38" s="9">
        <v>1669.68</v>
      </c>
      <c r="AJ38" s="9">
        <v>87.2</v>
      </c>
      <c r="AK38" s="9"/>
      <c r="AL38" s="1">
        <f t="shared" si="6"/>
        <v>1756.88</v>
      </c>
      <c r="AM38" s="1">
        <v>1731</v>
      </c>
      <c r="AN38" s="39">
        <f t="shared" si="7"/>
        <v>25.88000000000011</v>
      </c>
      <c r="AO38" s="9">
        <v>1669.68</v>
      </c>
      <c r="AP38" s="8">
        <v>44.8</v>
      </c>
      <c r="AQ38" s="8">
        <v>205.12</v>
      </c>
      <c r="AR38" s="3">
        <f t="shared" si="8"/>
        <v>1919.6</v>
      </c>
      <c r="AS38" s="2"/>
      <c r="AT38" s="9">
        <f t="shared" si="9"/>
        <v>1919.6</v>
      </c>
      <c r="AU38" s="9">
        <v>1669.68</v>
      </c>
      <c r="AV38" s="9">
        <v>30</v>
      </c>
      <c r="AW38" s="4"/>
      <c r="AX38" s="3">
        <f t="shared" si="10"/>
        <v>1699.68</v>
      </c>
    </row>
    <row r="39" spans="1:50" ht="11.25">
      <c r="A39" s="18">
        <v>34</v>
      </c>
      <c r="B39" s="24" t="s">
        <v>141</v>
      </c>
      <c r="C39" s="25" t="s">
        <v>21</v>
      </c>
      <c r="D39" s="8"/>
      <c r="E39" s="9"/>
      <c r="F39" s="8"/>
      <c r="G39" s="9"/>
      <c r="H39" s="8"/>
      <c r="I39" s="1"/>
      <c r="J39" s="5"/>
      <c r="K39" s="6"/>
      <c r="L39" s="37"/>
      <c r="M39" s="1"/>
      <c r="N39" s="1"/>
      <c r="O39" s="1"/>
      <c r="P39" s="1"/>
      <c r="Q39" s="1"/>
      <c r="R39" s="1"/>
      <c r="S39" s="9"/>
      <c r="T39" s="1"/>
      <c r="U39" s="38"/>
      <c r="V39" s="1"/>
      <c r="W39" s="37"/>
      <c r="X39" s="47"/>
      <c r="Y39" s="47"/>
      <c r="Z39" s="9">
        <v>1669.68</v>
      </c>
      <c r="AA39" s="47"/>
      <c r="AB39" s="9">
        <f t="shared" si="12"/>
        <v>1669.68</v>
      </c>
      <c r="AC39" s="47">
        <v>0</v>
      </c>
      <c r="AD39" s="9">
        <v>1669.68</v>
      </c>
      <c r="AE39" s="1">
        <v>3297</v>
      </c>
      <c r="AF39" s="38">
        <f t="shared" si="4"/>
        <v>3339.36</v>
      </c>
      <c r="AG39" s="1">
        <f t="shared" si="4"/>
        <v>3297</v>
      </c>
      <c r="AH39" s="7">
        <f t="shared" si="5"/>
        <v>42.36000000000013</v>
      </c>
      <c r="AI39" s="9">
        <v>1669.68</v>
      </c>
      <c r="AJ39" s="9">
        <v>87.2</v>
      </c>
      <c r="AK39" s="9"/>
      <c r="AL39" s="1">
        <f t="shared" si="6"/>
        <v>1756.88</v>
      </c>
      <c r="AM39" s="1">
        <v>1739</v>
      </c>
      <c r="AN39" s="39">
        <f t="shared" si="7"/>
        <v>17.88000000000011</v>
      </c>
      <c r="AO39" s="9">
        <v>1669.68</v>
      </c>
      <c r="AP39" s="8">
        <v>44.8</v>
      </c>
      <c r="AQ39" s="8">
        <v>205.12</v>
      </c>
      <c r="AR39" s="3">
        <f t="shared" si="8"/>
        <v>1919.6</v>
      </c>
      <c r="AS39" s="2"/>
      <c r="AT39" s="9">
        <f t="shared" si="9"/>
        <v>1919.6</v>
      </c>
      <c r="AU39" s="9">
        <v>1669.68</v>
      </c>
      <c r="AV39" s="9">
        <v>30</v>
      </c>
      <c r="AW39" s="4"/>
      <c r="AX39" s="3">
        <f t="shared" si="10"/>
        <v>1699.68</v>
      </c>
    </row>
    <row r="40" spans="1:50" s="22" customFormat="1" ht="11.25">
      <c r="A40" s="16">
        <v>35</v>
      </c>
      <c r="B40" s="19" t="s">
        <v>19</v>
      </c>
      <c r="C40" s="19" t="s">
        <v>21</v>
      </c>
      <c r="D40" s="8">
        <v>1500</v>
      </c>
      <c r="E40" s="9">
        <v>1494</v>
      </c>
      <c r="F40" s="8">
        <v>1600</v>
      </c>
      <c r="G40" s="9">
        <v>1343</v>
      </c>
      <c r="H40" s="8">
        <v>1624.79</v>
      </c>
      <c r="I40" s="1">
        <v>1800</v>
      </c>
      <c r="J40" s="5">
        <f t="shared" si="0"/>
        <v>4724.79</v>
      </c>
      <c r="K40" s="6">
        <f t="shared" si="0"/>
        <v>4637</v>
      </c>
      <c r="L40" s="40">
        <f t="shared" si="1"/>
        <v>87.78999999999996</v>
      </c>
      <c r="M40" s="1">
        <v>1676</v>
      </c>
      <c r="N40" s="1">
        <v>1662</v>
      </c>
      <c r="O40" s="1">
        <v>1676</v>
      </c>
      <c r="P40" s="1"/>
      <c r="Q40" s="1">
        <f t="shared" si="11"/>
        <v>1676</v>
      </c>
      <c r="R40" s="1">
        <v>1615</v>
      </c>
      <c r="S40" s="47">
        <v>1700.96</v>
      </c>
      <c r="T40" s="1">
        <v>1629</v>
      </c>
      <c r="U40" s="38">
        <f t="shared" si="2"/>
        <v>5052.96</v>
      </c>
      <c r="V40" s="1">
        <f t="shared" si="2"/>
        <v>4906</v>
      </c>
      <c r="W40" s="7">
        <f t="shared" si="3"/>
        <v>146.96000000000004</v>
      </c>
      <c r="X40" s="47">
        <v>1600</v>
      </c>
      <c r="Y40" s="47">
        <v>1472</v>
      </c>
      <c r="Z40" s="9">
        <v>1669.68</v>
      </c>
      <c r="AA40" s="47"/>
      <c r="AB40" s="9">
        <f t="shared" si="12"/>
        <v>1669.68</v>
      </c>
      <c r="AC40" s="47">
        <v>1525</v>
      </c>
      <c r="AD40" s="9">
        <v>1669.68</v>
      </c>
      <c r="AE40" s="1">
        <v>1931</v>
      </c>
      <c r="AF40" s="38">
        <f t="shared" si="4"/>
        <v>4939.360000000001</v>
      </c>
      <c r="AG40" s="1">
        <f t="shared" si="4"/>
        <v>4928</v>
      </c>
      <c r="AH40" s="37">
        <f t="shared" si="5"/>
        <v>11.360000000000582</v>
      </c>
      <c r="AI40" s="9">
        <v>1669.68</v>
      </c>
      <c r="AJ40" s="9">
        <v>87.2</v>
      </c>
      <c r="AK40" s="9">
        <v>327.6</v>
      </c>
      <c r="AL40" s="1">
        <f t="shared" si="6"/>
        <v>2084.48</v>
      </c>
      <c r="AM40" s="1">
        <v>1979</v>
      </c>
      <c r="AN40" s="9">
        <f t="shared" si="7"/>
        <v>105.48000000000002</v>
      </c>
      <c r="AO40" s="9">
        <v>1669.68</v>
      </c>
      <c r="AP40" s="8">
        <v>44.8</v>
      </c>
      <c r="AQ40" s="8"/>
      <c r="AR40" s="3">
        <f t="shared" si="8"/>
        <v>1714.48</v>
      </c>
      <c r="AS40" s="2"/>
      <c r="AT40" s="9">
        <f t="shared" si="9"/>
        <v>1714.48</v>
      </c>
      <c r="AU40" s="9">
        <v>1669.68</v>
      </c>
      <c r="AV40" s="9">
        <v>30</v>
      </c>
      <c r="AW40" s="4"/>
      <c r="AX40" s="3">
        <f t="shared" si="10"/>
        <v>1699.68</v>
      </c>
    </row>
    <row r="41" spans="1:50" ht="11.25">
      <c r="A41" s="18">
        <v>36</v>
      </c>
      <c r="B41" s="19" t="s">
        <v>8</v>
      </c>
      <c r="C41" s="19" t="s">
        <v>23</v>
      </c>
      <c r="D41" s="8">
        <v>2250</v>
      </c>
      <c r="E41" s="9">
        <v>2235.8</v>
      </c>
      <c r="F41" s="8">
        <v>2400</v>
      </c>
      <c r="G41" s="9">
        <v>2386.8</v>
      </c>
      <c r="H41" s="8">
        <v>2437.18</v>
      </c>
      <c r="I41" s="1">
        <v>2315.8</v>
      </c>
      <c r="J41" s="5">
        <f t="shared" si="0"/>
        <v>7087.18</v>
      </c>
      <c r="K41" s="6">
        <f t="shared" si="0"/>
        <v>6938.400000000001</v>
      </c>
      <c r="L41" s="40">
        <f t="shared" si="1"/>
        <v>148.77999999999975</v>
      </c>
      <c r="M41" s="1">
        <v>2514</v>
      </c>
      <c r="N41" s="1">
        <v>2348.8</v>
      </c>
      <c r="O41" s="1">
        <v>2514</v>
      </c>
      <c r="P41" s="1"/>
      <c r="Q41" s="1">
        <f t="shared" si="11"/>
        <v>2514</v>
      </c>
      <c r="R41" s="1">
        <v>2500.8</v>
      </c>
      <c r="S41" s="9">
        <v>2551.44</v>
      </c>
      <c r="T41" s="1">
        <v>2696.8</v>
      </c>
      <c r="U41" s="38">
        <f t="shared" si="2"/>
        <v>7579.4400000000005</v>
      </c>
      <c r="V41" s="1">
        <f t="shared" si="2"/>
        <v>7546.400000000001</v>
      </c>
      <c r="W41" s="37">
        <f t="shared" si="3"/>
        <v>33.039999999999964</v>
      </c>
      <c r="X41" s="47">
        <v>2400</v>
      </c>
      <c r="Y41" s="47">
        <v>1960.8</v>
      </c>
      <c r="Z41" s="9">
        <v>2504.52</v>
      </c>
      <c r="AA41" s="47">
        <v>266.4</v>
      </c>
      <c r="AB41" s="9">
        <f t="shared" si="12"/>
        <v>2770.92</v>
      </c>
      <c r="AC41" s="47">
        <v>2519</v>
      </c>
      <c r="AD41" s="9">
        <v>2504.52</v>
      </c>
      <c r="AE41" s="1">
        <v>3134</v>
      </c>
      <c r="AF41" s="38">
        <f t="shared" si="4"/>
        <v>7675.4400000000005</v>
      </c>
      <c r="AG41" s="1">
        <f t="shared" si="4"/>
        <v>7613.8</v>
      </c>
      <c r="AH41" s="7">
        <f t="shared" si="5"/>
        <v>61.64000000000033</v>
      </c>
      <c r="AI41" s="9">
        <v>2504.52</v>
      </c>
      <c r="AJ41" s="9">
        <v>130.8</v>
      </c>
      <c r="AK41" s="9"/>
      <c r="AL41" s="1">
        <f t="shared" si="6"/>
        <v>2635.32</v>
      </c>
      <c r="AM41" s="1">
        <v>2606</v>
      </c>
      <c r="AN41" s="39">
        <f t="shared" si="7"/>
        <v>29.320000000000164</v>
      </c>
      <c r="AO41" s="9">
        <v>2504.52</v>
      </c>
      <c r="AP41" s="8">
        <v>67.2</v>
      </c>
      <c r="AQ41" s="8">
        <v>307.68</v>
      </c>
      <c r="AR41" s="3">
        <f t="shared" si="8"/>
        <v>2879.3999999999996</v>
      </c>
      <c r="AS41" s="2"/>
      <c r="AT41" s="9">
        <f t="shared" si="9"/>
        <v>2879.3999999999996</v>
      </c>
      <c r="AU41" s="9">
        <v>2504.52</v>
      </c>
      <c r="AV41" s="9">
        <v>45</v>
      </c>
      <c r="AW41" s="4"/>
      <c r="AX41" s="3">
        <f t="shared" si="10"/>
        <v>2549.52</v>
      </c>
    </row>
    <row r="42" spans="1:50" ht="11.25">
      <c r="A42" s="16">
        <v>37</v>
      </c>
      <c r="B42" s="19" t="s">
        <v>9</v>
      </c>
      <c r="C42" s="19" t="s">
        <v>20</v>
      </c>
      <c r="D42" s="8">
        <f>1875+112</f>
        <v>1987</v>
      </c>
      <c r="E42" s="9">
        <v>1987</v>
      </c>
      <c r="F42" s="8">
        <f>2000-112+99</f>
        <v>1987</v>
      </c>
      <c r="G42" s="9">
        <v>1987</v>
      </c>
      <c r="H42" s="8">
        <f>2030.98-99</f>
        <v>1931.98</v>
      </c>
      <c r="I42" s="1">
        <v>1912</v>
      </c>
      <c r="J42" s="5">
        <f t="shared" si="0"/>
        <v>5905.98</v>
      </c>
      <c r="K42" s="6">
        <f t="shared" si="0"/>
        <v>5886</v>
      </c>
      <c r="L42" s="37">
        <f t="shared" si="1"/>
        <v>19.979999999999563</v>
      </c>
      <c r="M42" s="1">
        <v>2095</v>
      </c>
      <c r="N42" s="1">
        <v>2093</v>
      </c>
      <c r="O42" s="1">
        <v>2095</v>
      </c>
      <c r="P42" s="1">
        <v>179.5</v>
      </c>
      <c r="Q42" s="1">
        <f t="shared" si="11"/>
        <v>2274.5</v>
      </c>
      <c r="R42" s="1">
        <v>2255</v>
      </c>
      <c r="S42" s="47">
        <v>2126.2</v>
      </c>
      <c r="T42" s="1">
        <v>2113</v>
      </c>
      <c r="U42" s="38">
        <f t="shared" si="2"/>
        <v>6495.7</v>
      </c>
      <c r="V42" s="1">
        <f t="shared" si="2"/>
        <v>6461</v>
      </c>
      <c r="W42" s="37">
        <f t="shared" si="3"/>
        <v>34.69999999999982</v>
      </c>
      <c r="X42" s="47">
        <v>2000</v>
      </c>
      <c r="Y42" s="47">
        <v>2000</v>
      </c>
      <c r="Z42" s="9">
        <v>2087.1</v>
      </c>
      <c r="AA42" s="47">
        <v>222.9</v>
      </c>
      <c r="AB42" s="9">
        <f t="shared" si="12"/>
        <v>2310</v>
      </c>
      <c r="AC42" s="47">
        <v>2310</v>
      </c>
      <c r="AD42" s="9">
        <v>2087.1</v>
      </c>
      <c r="AE42" s="1">
        <v>2077</v>
      </c>
      <c r="AF42" s="38">
        <f t="shared" si="4"/>
        <v>6397.1</v>
      </c>
      <c r="AG42" s="1">
        <f t="shared" si="4"/>
        <v>6387</v>
      </c>
      <c r="AH42" s="37">
        <f t="shared" si="5"/>
        <v>10.100000000000364</v>
      </c>
      <c r="AI42" s="9">
        <v>2087.1</v>
      </c>
      <c r="AJ42" s="9">
        <v>109</v>
      </c>
      <c r="AK42" s="9">
        <v>409.5</v>
      </c>
      <c r="AL42" s="1">
        <f t="shared" si="6"/>
        <v>2605.6</v>
      </c>
      <c r="AM42" s="1">
        <v>2603</v>
      </c>
      <c r="AN42" s="39">
        <f t="shared" si="7"/>
        <v>2.599999999999909</v>
      </c>
      <c r="AO42" s="9">
        <v>2087.1</v>
      </c>
      <c r="AP42" s="8">
        <v>56</v>
      </c>
      <c r="AQ42" s="8">
        <v>256.4</v>
      </c>
      <c r="AR42" s="3">
        <f t="shared" si="8"/>
        <v>2399.5</v>
      </c>
      <c r="AS42" s="2"/>
      <c r="AT42" s="9">
        <f t="shared" si="9"/>
        <v>2399.5</v>
      </c>
      <c r="AU42" s="9">
        <v>2087.1</v>
      </c>
      <c r="AV42" s="9">
        <v>37.5</v>
      </c>
      <c r="AW42" s="4"/>
      <c r="AX42" s="3">
        <f t="shared" si="10"/>
        <v>2124.6</v>
      </c>
    </row>
    <row r="43" spans="1:50" ht="11.25">
      <c r="A43" s="18">
        <v>38</v>
      </c>
      <c r="B43" s="19" t="s">
        <v>10</v>
      </c>
      <c r="C43" s="19" t="s">
        <v>21</v>
      </c>
      <c r="D43" s="8">
        <v>1500</v>
      </c>
      <c r="E43" s="9">
        <v>1488</v>
      </c>
      <c r="F43" s="8">
        <v>1600</v>
      </c>
      <c r="G43" s="9">
        <v>1564.8</v>
      </c>
      <c r="H43" s="8">
        <v>1624.79</v>
      </c>
      <c r="I43" s="1">
        <v>1660</v>
      </c>
      <c r="J43" s="5">
        <f t="shared" si="0"/>
        <v>4724.79</v>
      </c>
      <c r="K43" s="6">
        <f t="shared" si="0"/>
        <v>4712.8</v>
      </c>
      <c r="L43" s="48">
        <f t="shared" si="1"/>
        <v>11.989999999999782</v>
      </c>
      <c r="M43" s="1">
        <v>1676</v>
      </c>
      <c r="N43" s="1">
        <v>1634.4</v>
      </c>
      <c r="O43" s="1">
        <v>1676</v>
      </c>
      <c r="P43" s="1">
        <v>143.6</v>
      </c>
      <c r="Q43" s="1">
        <f t="shared" si="11"/>
        <v>1819.6</v>
      </c>
      <c r="R43" s="1">
        <v>1668</v>
      </c>
      <c r="S43" s="9">
        <v>1700.96</v>
      </c>
      <c r="T43" s="1">
        <v>1880</v>
      </c>
      <c r="U43" s="38">
        <f t="shared" si="2"/>
        <v>5196.5599999999995</v>
      </c>
      <c r="V43" s="1">
        <f t="shared" si="2"/>
        <v>5182.4</v>
      </c>
      <c r="W43" s="37">
        <f t="shared" si="3"/>
        <v>14.159999999999854</v>
      </c>
      <c r="X43" s="47">
        <v>1600</v>
      </c>
      <c r="Y43" s="47">
        <v>1598</v>
      </c>
      <c r="Z43" s="9">
        <v>1669.68</v>
      </c>
      <c r="AA43" s="47">
        <v>177.6</v>
      </c>
      <c r="AB43" s="9">
        <f t="shared" si="12"/>
        <v>1847.28</v>
      </c>
      <c r="AC43" s="47">
        <v>1664.4</v>
      </c>
      <c r="AD43" s="9">
        <v>1669.68</v>
      </c>
      <c r="AE43" s="1">
        <v>1786</v>
      </c>
      <c r="AF43" s="38">
        <f t="shared" si="4"/>
        <v>5116.96</v>
      </c>
      <c r="AG43" s="1">
        <f t="shared" si="4"/>
        <v>5048.4</v>
      </c>
      <c r="AH43" s="7">
        <f t="shared" si="5"/>
        <v>68.5600000000004</v>
      </c>
      <c r="AI43" s="9">
        <v>1669.68</v>
      </c>
      <c r="AJ43" s="9">
        <v>87.2</v>
      </c>
      <c r="AK43" s="9"/>
      <c r="AL43" s="1">
        <f t="shared" si="6"/>
        <v>1756.88</v>
      </c>
      <c r="AM43" s="1">
        <v>1731</v>
      </c>
      <c r="AN43" s="39">
        <f t="shared" si="7"/>
        <v>25.88000000000011</v>
      </c>
      <c r="AO43" s="9">
        <v>1669.68</v>
      </c>
      <c r="AP43" s="8">
        <v>44.8</v>
      </c>
      <c r="AQ43" s="8">
        <v>205.12</v>
      </c>
      <c r="AR43" s="3">
        <f t="shared" si="8"/>
        <v>1919.6</v>
      </c>
      <c r="AS43" s="2"/>
      <c r="AT43" s="9">
        <f t="shared" si="9"/>
        <v>1919.6</v>
      </c>
      <c r="AU43" s="9">
        <v>1669.68</v>
      </c>
      <c r="AV43" s="9">
        <v>30</v>
      </c>
      <c r="AW43" s="4"/>
      <c r="AX43" s="3">
        <f t="shared" si="10"/>
        <v>1699.68</v>
      </c>
    </row>
    <row r="44" spans="1:50" ht="11.25">
      <c r="A44" s="16">
        <v>39</v>
      </c>
      <c r="B44" s="30" t="s">
        <v>115</v>
      </c>
      <c r="C44" s="20" t="s">
        <v>21</v>
      </c>
      <c r="D44" s="8">
        <f>2250+4.6</f>
        <v>2254.6</v>
      </c>
      <c r="E44" s="9">
        <v>2254.6</v>
      </c>
      <c r="F44" s="8">
        <f>2400-4.6+99.6</f>
        <v>2495</v>
      </c>
      <c r="G44" s="9">
        <v>2495</v>
      </c>
      <c r="H44" s="8">
        <f>2437.19-99.6</f>
        <v>2337.59</v>
      </c>
      <c r="I44" s="1">
        <v>2307.6</v>
      </c>
      <c r="J44" s="5">
        <f t="shared" si="0"/>
        <v>7087.1900000000005</v>
      </c>
      <c r="K44" s="6">
        <f t="shared" si="0"/>
        <v>7057.200000000001</v>
      </c>
      <c r="L44" s="37">
        <f t="shared" si="1"/>
        <v>29.98999999999978</v>
      </c>
      <c r="M44" s="1">
        <f>2514+115.8</f>
        <v>2629.8</v>
      </c>
      <c r="N44" s="1">
        <v>2629.8</v>
      </c>
      <c r="O44" s="1">
        <v>2514</v>
      </c>
      <c r="P44" s="1">
        <v>215.4</v>
      </c>
      <c r="Q44" s="1">
        <f>O44+P44-115.8</f>
        <v>2613.6</v>
      </c>
      <c r="R44" s="1">
        <v>2505.6</v>
      </c>
      <c r="S44" s="47">
        <v>2551.44</v>
      </c>
      <c r="T44" s="1">
        <v>2649.6</v>
      </c>
      <c r="U44" s="38">
        <f t="shared" si="2"/>
        <v>7794.84</v>
      </c>
      <c r="V44" s="1">
        <f t="shared" si="2"/>
        <v>7785</v>
      </c>
      <c r="W44" s="37">
        <f t="shared" si="3"/>
        <v>9.840000000000146</v>
      </c>
      <c r="X44" s="47">
        <f>2400+2.8</f>
        <v>2402.8</v>
      </c>
      <c r="Y44" s="47">
        <v>2402.8</v>
      </c>
      <c r="Z44" s="9">
        <f>2504.52-2.8</f>
        <v>2501.72</v>
      </c>
      <c r="AA44" s="47">
        <v>266.4</v>
      </c>
      <c r="AB44" s="9">
        <f>Z44+AA44+34.48</f>
        <v>2802.6</v>
      </c>
      <c r="AC44" s="47">
        <v>2802.6</v>
      </c>
      <c r="AD44" s="9">
        <f>2504.52-34.48</f>
        <v>2470.04</v>
      </c>
      <c r="AE44" s="1">
        <v>1860.6</v>
      </c>
      <c r="AF44" s="38">
        <f t="shared" si="4"/>
        <v>7675.44</v>
      </c>
      <c r="AG44" s="1">
        <f t="shared" si="4"/>
        <v>7066</v>
      </c>
      <c r="AH44" s="7">
        <f t="shared" si="5"/>
        <v>609.4399999999996</v>
      </c>
      <c r="AI44" s="9">
        <v>2504.52</v>
      </c>
      <c r="AJ44" s="9">
        <v>130.8</v>
      </c>
      <c r="AK44" s="9"/>
      <c r="AL44" s="1">
        <f>AI44+AJ44+AK44+13.88</f>
        <v>2649.2000000000003</v>
      </c>
      <c r="AM44" s="1">
        <v>2649.2</v>
      </c>
      <c r="AN44" s="39">
        <f t="shared" si="7"/>
        <v>0</v>
      </c>
      <c r="AO44" s="9">
        <v>2504.52</v>
      </c>
      <c r="AP44" s="8">
        <v>67.2</v>
      </c>
      <c r="AQ44" s="8">
        <v>307.68</v>
      </c>
      <c r="AR44" s="3">
        <f>AO44+AP44+AQ44-13.88</f>
        <v>2865.5199999999995</v>
      </c>
      <c r="AS44" s="2"/>
      <c r="AT44" s="9">
        <f t="shared" si="9"/>
        <v>2865.5199999999995</v>
      </c>
      <c r="AU44" s="9">
        <v>2504.52</v>
      </c>
      <c r="AV44" s="9">
        <v>45</v>
      </c>
      <c r="AW44" s="4"/>
      <c r="AX44" s="3">
        <f t="shared" si="10"/>
        <v>2549.52</v>
      </c>
    </row>
    <row r="45" spans="1:50" ht="11.25">
      <c r="A45" s="18">
        <v>40</v>
      </c>
      <c r="B45" s="24" t="s">
        <v>46</v>
      </c>
      <c r="C45" s="24" t="s">
        <v>20</v>
      </c>
      <c r="D45" s="8">
        <v>1875</v>
      </c>
      <c r="E45" s="9">
        <v>1873</v>
      </c>
      <c r="F45" s="8">
        <f>2000+1</f>
        <v>2001</v>
      </c>
      <c r="G45" s="9">
        <v>2001</v>
      </c>
      <c r="H45" s="8">
        <f>2030.98-1</f>
        <v>2029.98</v>
      </c>
      <c r="I45" s="1">
        <v>2030</v>
      </c>
      <c r="J45" s="5">
        <f t="shared" si="0"/>
        <v>5905.98</v>
      </c>
      <c r="K45" s="6">
        <f t="shared" si="0"/>
        <v>5904</v>
      </c>
      <c r="L45" s="37">
        <f t="shared" si="1"/>
        <v>1.9799999999995634</v>
      </c>
      <c r="M45" s="1">
        <v>2095</v>
      </c>
      <c r="N45" s="1">
        <v>2095</v>
      </c>
      <c r="O45" s="1">
        <v>2095</v>
      </c>
      <c r="P45" s="1">
        <v>179.5</v>
      </c>
      <c r="Q45" s="1">
        <f t="shared" si="11"/>
        <v>2274.5</v>
      </c>
      <c r="R45" s="1">
        <v>2092</v>
      </c>
      <c r="S45" s="9">
        <v>2126.2</v>
      </c>
      <c r="T45" s="1">
        <v>2303</v>
      </c>
      <c r="U45" s="38">
        <f t="shared" si="2"/>
        <v>6495.7</v>
      </c>
      <c r="V45" s="1">
        <f t="shared" si="2"/>
        <v>6490</v>
      </c>
      <c r="W45" s="37">
        <f t="shared" si="3"/>
        <v>5.699999999999818</v>
      </c>
      <c r="X45" s="51">
        <f>2000+2</f>
        <v>2002</v>
      </c>
      <c r="Y45" s="50">
        <v>2002</v>
      </c>
      <c r="Z45" s="9">
        <f>2087.1-2</f>
        <v>2085.1</v>
      </c>
      <c r="AA45" s="51">
        <v>222.9</v>
      </c>
      <c r="AB45" s="9">
        <f>Z45+AA45+2</f>
        <v>2310</v>
      </c>
      <c r="AC45" s="50">
        <v>2310</v>
      </c>
      <c r="AD45" s="9">
        <f>2087.1-2</f>
        <v>2085.1</v>
      </c>
      <c r="AE45" s="1">
        <v>2071</v>
      </c>
      <c r="AF45" s="38">
        <f t="shared" si="4"/>
        <v>6397.1</v>
      </c>
      <c r="AG45" s="1">
        <f t="shared" si="4"/>
        <v>6383</v>
      </c>
      <c r="AH45" s="37">
        <f t="shared" si="5"/>
        <v>14.100000000000364</v>
      </c>
      <c r="AI45" s="9">
        <v>2087.1</v>
      </c>
      <c r="AJ45" s="9">
        <v>109</v>
      </c>
      <c r="AK45" s="9">
        <v>409.5</v>
      </c>
      <c r="AL45" s="1">
        <f t="shared" si="6"/>
        <v>2605.6</v>
      </c>
      <c r="AM45" s="58">
        <v>2593</v>
      </c>
      <c r="AN45" s="39">
        <f t="shared" si="7"/>
        <v>12.599999999999909</v>
      </c>
      <c r="AO45" s="9">
        <v>2087.1</v>
      </c>
      <c r="AP45" s="8">
        <v>56</v>
      </c>
      <c r="AQ45" s="8">
        <v>256.4</v>
      </c>
      <c r="AR45" s="3">
        <f t="shared" si="8"/>
        <v>2399.5</v>
      </c>
      <c r="AS45" s="10"/>
      <c r="AT45" s="9">
        <f t="shared" si="9"/>
        <v>2399.5</v>
      </c>
      <c r="AU45" s="9">
        <v>2087.1</v>
      </c>
      <c r="AV45" s="9">
        <v>37.5</v>
      </c>
      <c r="AW45" s="41"/>
      <c r="AX45" s="3">
        <f t="shared" si="10"/>
        <v>2124.6</v>
      </c>
    </row>
    <row r="46" spans="1:50" ht="11.25">
      <c r="A46" s="16">
        <v>41</v>
      </c>
      <c r="B46" s="23" t="s">
        <v>104</v>
      </c>
      <c r="C46" s="23" t="s">
        <v>21</v>
      </c>
      <c r="D46" s="8">
        <f>2250+11</f>
        <v>2261</v>
      </c>
      <c r="E46" s="9">
        <v>2261</v>
      </c>
      <c r="F46" s="8">
        <f>2400-11+53</f>
        <v>2442</v>
      </c>
      <c r="G46" s="9">
        <v>2442</v>
      </c>
      <c r="H46" s="8">
        <f>2437.19-53</f>
        <v>2384.19</v>
      </c>
      <c r="I46" s="1">
        <v>2373</v>
      </c>
      <c r="J46" s="5">
        <f t="shared" si="0"/>
        <v>7087.1900000000005</v>
      </c>
      <c r="K46" s="6">
        <f t="shared" si="0"/>
        <v>7076</v>
      </c>
      <c r="L46" s="37">
        <f t="shared" si="1"/>
        <v>11.19000000000051</v>
      </c>
      <c r="M46" s="1">
        <v>2514</v>
      </c>
      <c r="N46" s="1">
        <v>2459</v>
      </c>
      <c r="O46" s="1">
        <v>2514</v>
      </c>
      <c r="P46" s="1">
        <v>215.4</v>
      </c>
      <c r="Q46" s="1">
        <f t="shared" si="11"/>
        <v>2729.4</v>
      </c>
      <c r="R46" s="1">
        <v>2686</v>
      </c>
      <c r="S46" s="47">
        <v>2551.44</v>
      </c>
      <c r="T46" s="1">
        <v>2647</v>
      </c>
      <c r="U46" s="38">
        <f t="shared" si="2"/>
        <v>7794.84</v>
      </c>
      <c r="V46" s="1">
        <f t="shared" si="2"/>
        <v>7792</v>
      </c>
      <c r="W46" s="37">
        <f t="shared" si="3"/>
        <v>2.8400000000001455</v>
      </c>
      <c r="X46" s="51">
        <v>2400</v>
      </c>
      <c r="Y46" s="50">
        <v>2385</v>
      </c>
      <c r="Z46" s="9">
        <v>2504.52</v>
      </c>
      <c r="AA46" s="51">
        <v>266.4</v>
      </c>
      <c r="AB46" s="9">
        <f t="shared" si="12"/>
        <v>2770.92</v>
      </c>
      <c r="AC46" s="50">
        <v>2731</v>
      </c>
      <c r="AD46" s="9">
        <v>2504.52</v>
      </c>
      <c r="AE46" s="1">
        <v>2474</v>
      </c>
      <c r="AF46" s="38">
        <f t="shared" si="4"/>
        <v>7675.4400000000005</v>
      </c>
      <c r="AG46" s="1">
        <f t="shared" si="4"/>
        <v>7590</v>
      </c>
      <c r="AH46" s="7">
        <f t="shared" si="5"/>
        <v>85.44000000000051</v>
      </c>
      <c r="AI46" s="9">
        <v>2504.52</v>
      </c>
      <c r="AJ46" s="9">
        <v>130.8</v>
      </c>
      <c r="AK46" s="9"/>
      <c r="AL46" s="1">
        <f t="shared" si="6"/>
        <v>2635.32</v>
      </c>
      <c r="AM46" s="58">
        <v>2588</v>
      </c>
      <c r="AN46" s="9">
        <f t="shared" si="7"/>
        <v>47.320000000000164</v>
      </c>
      <c r="AO46" s="9">
        <v>2504.52</v>
      </c>
      <c r="AP46" s="8">
        <v>67.2</v>
      </c>
      <c r="AQ46" s="8"/>
      <c r="AR46" s="3">
        <f t="shared" si="8"/>
        <v>2571.72</v>
      </c>
      <c r="AS46" s="10"/>
      <c r="AT46" s="9">
        <f t="shared" si="9"/>
        <v>2571.72</v>
      </c>
      <c r="AU46" s="9">
        <v>2504.52</v>
      </c>
      <c r="AV46" s="9">
        <v>45</v>
      </c>
      <c r="AW46" s="41"/>
      <c r="AX46" s="3">
        <f t="shared" si="10"/>
        <v>2549.52</v>
      </c>
    </row>
    <row r="47" spans="1:50" ht="11.25">
      <c r="A47" s="18">
        <v>42</v>
      </c>
      <c r="B47" s="24" t="s">
        <v>47</v>
      </c>
      <c r="C47" s="24" t="s">
        <v>21</v>
      </c>
      <c r="D47" s="8">
        <f>1500+103</f>
        <v>1603</v>
      </c>
      <c r="E47" s="9">
        <v>1603</v>
      </c>
      <c r="F47" s="8">
        <f>1600-103+80</f>
        <v>1577</v>
      </c>
      <c r="G47" s="9">
        <v>1577</v>
      </c>
      <c r="H47" s="8">
        <f>1624.79-80</f>
        <v>1544.79</v>
      </c>
      <c r="I47" s="1">
        <v>1516</v>
      </c>
      <c r="J47" s="5">
        <f t="shared" si="0"/>
        <v>4724.79</v>
      </c>
      <c r="K47" s="6">
        <f t="shared" si="0"/>
        <v>4696</v>
      </c>
      <c r="L47" s="37">
        <f t="shared" si="1"/>
        <v>28.789999999999964</v>
      </c>
      <c r="M47" s="1">
        <v>1676</v>
      </c>
      <c r="N47" s="1">
        <v>1667</v>
      </c>
      <c r="O47" s="1">
        <v>1676</v>
      </c>
      <c r="P47" s="1">
        <v>143.6</v>
      </c>
      <c r="Q47" s="1">
        <f t="shared" si="11"/>
        <v>1819.6</v>
      </c>
      <c r="R47" s="1">
        <v>1795</v>
      </c>
      <c r="S47" s="9">
        <v>1700.96</v>
      </c>
      <c r="T47" s="1">
        <v>1623</v>
      </c>
      <c r="U47" s="38">
        <f t="shared" si="2"/>
        <v>5196.5599999999995</v>
      </c>
      <c r="V47" s="1">
        <f t="shared" si="2"/>
        <v>5085</v>
      </c>
      <c r="W47" s="7">
        <f t="shared" si="3"/>
        <v>111.55999999999949</v>
      </c>
      <c r="X47" s="51">
        <v>1600</v>
      </c>
      <c r="Y47" s="50">
        <v>1593</v>
      </c>
      <c r="Z47" s="9">
        <v>1669.68</v>
      </c>
      <c r="AA47" s="51"/>
      <c r="AB47" s="9">
        <f t="shared" si="12"/>
        <v>1669.68</v>
      </c>
      <c r="AC47" s="50">
        <v>1638</v>
      </c>
      <c r="AD47" s="9">
        <v>1669.68</v>
      </c>
      <c r="AE47" s="1">
        <v>1504</v>
      </c>
      <c r="AF47" s="38">
        <f t="shared" si="4"/>
        <v>4939.360000000001</v>
      </c>
      <c r="AG47" s="1">
        <f t="shared" si="4"/>
        <v>4735</v>
      </c>
      <c r="AH47" s="7">
        <f t="shared" si="5"/>
        <v>204.36000000000058</v>
      </c>
      <c r="AI47" s="9">
        <v>1669.68</v>
      </c>
      <c r="AJ47" s="9">
        <v>87.2</v>
      </c>
      <c r="AK47" s="9"/>
      <c r="AL47" s="1">
        <f t="shared" si="6"/>
        <v>1756.88</v>
      </c>
      <c r="AM47" s="58">
        <v>1718</v>
      </c>
      <c r="AN47" s="39">
        <f t="shared" si="7"/>
        <v>38.88000000000011</v>
      </c>
      <c r="AO47" s="9">
        <v>1669.68</v>
      </c>
      <c r="AP47" s="8">
        <v>44.8</v>
      </c>
      <c r="AQ47" s="8">
        <v>205.12</v>
      </c>
      <c r="AR47" s="3">
        <f t="shared" si="8"/>
        <v>1919.6</v>
      </c>
      <c r="AS47" s="10"/>
      <c r="AT47" s="9">
        <f t="shared" si="9"/>
        <v>1919.6</v>
      </c>
      <c r="AU47" s="9">
        <v>1669.68</v>
      </c>
      <c r="AV47" s="9">
        <v>30</v>
      </c>
      <c r="AW47" s="41"/>
      <c r="AX47" s="3">
        <f t="shared" si="10"/>
        <v>1699.68</v>
      </c>
    </row>
    <row r="48" spans="1:50" ht="11.25">
      <c r="A48" s="16">
        <v>43</v>
      </c>
      <c r="B48" s="24" t="s">
        <v>48</v>
      </c>
      <c r="C48" s="24" t="s">
        <v>20</v>
      </c>
      <c r="D48" s="8">
        <v>1875</v>
      </c>
      <c r="E48" s="9">
        <v>1836</v>
      </c>
      <c r="F48" s="8">
        <v>2000</v>
      </c>
      <c r="G48" s="9">
        <v>1632</v>
      </c>
      <c r="H48" s="8">
        <v>2030.98</v>
      </c>
      <c r="I48" s="1">
        <v>2346</v>
      </c>
      <c r="J48" s="5">
        <f t="shared" si="0"/>
        <v>5905.98</v>
      </c>
      <c r="K48" s="6">
        <f t="shared" si="0"/>
        <v>5814</v>
      </c>
      <c r="L48" s="40">
        <f t="shared" si="1"/>
        <v>91.97999999999956</v>
      </c>
      <c r="M48" s="1">
        <v>2095</v>
      </c>
      <c r="N48" s="1">
        <v>1938</v>
      </c>
      <c r="O48" s="1">
        <v>2095</v>
      </c>
      <c r="P48" s="1"/>
      <c r="Q48" s="1">
        <f t="shared" si="11"/>
        <v>2095</v>
      </c>
      <c r="R48" s="1">
        <v>2040</v>
      </c>
      <c r="S48" s="47">
        <v>2126.2</v>
      </c>
      <c r="T48" s="1">
        <v>2275</v>
      </c>
      <c r="U48" s="38">
        <f t="shared" si="2"/>
        <v>6316.2</v>
      </c>
      <c r="V48" s="1">
        <f t="shared" si="2"/>
        <v>6253</v>
      </c>
      <c r="W48" s="7">
        <f t="shared" si="3"/>
        <v>63.19999999999982</v>
      </c>
      <c r="X48" s="51">
        <v>2000</v>
      </c>
      <c r="Y48" s="50">
        <v>1938</v>
      </c>
      <c r="Z48" s="9">
        <v>2087.1</v>
      </c>
      <c r="AA48" s="51"/>
      <c r="AB48" s="9">
        <f t="shared" si="12"/>
        <v>2087.1</v>
      </c>
      <c r="AC48" s="50">
        <v>2040</v>
      </c>
      <c r="AD48" s="9">
        <v>2087.1</v>
      </c>
      <c r="AE48" s="1">
        <v>2040</v>
      </c>
      <c r="AF48" s="38">
        <f t="shared" si="4"/>
        <v>6174.2</v>
      </c>
      <c r="AG48" s="1">
        <f t="shared" si="4"/>
        <v>6018</v>
      </c>
      <c r="AH48" s="7">
        <f t="shared" si="5"/>
        <v>156.19999999999982</v>
      </c>
      <c r="AI48" s="9">
        <v>2087.1</v>
      </c>
      <c r="AJ48" s="9">
        <v>109</v>
      </c>
      <c r="AK48" s="9"/>
      <c r="AL48" s="1">
        <f t="shared" si="6"/>
        <v>2196.1</v>
      </c>
      <c r="AM48" s="58">
        <v>2040</v>
      </c>
      <c r="AN48" s="9">
        <f t="shared" si="7"/>
        <v>156.0999999999999</v>
      </c>
      <c r="AO48" s="9">
        <v>2087.1</v>
      </c>
      <c r="AP48" s="8">
        <v>56</v>
      </c>
      <c r="AQ48" s="8"/>
      <c r="AR48" s="3">
        <f t="shared" si="8"/>
        <v>2143.1</v>
      </c>
      <c r="AS48" s="10"/>
      <c r="AT48" s="9">
        <f t="shared" si="9"/>
        <v>2143.1</v>
      </c>
      <c r="AU48" s="9">
        <v>2087.1</v>
      </c>
      <c r="AV48" s="9">
        <v>37.5</v>
      </c>
      <c r="AW48" s="41"/>
      <c r="AX48" s="3">
        <f t="shared" si="10"/>
        <v>2124.6</v>
      </c>
    </row>
    <row r="49" spans="1:50" ht="11.25">
      <c r="A49" s="18">
        <v>44</v>
      </c>
      <c r="B49" s="24" t="s">
        <v>90</v>
      </c>
      <c r="C49" s="24" t="s">
        <v>20</v>
      </c>
      <c r="D49" s="8">
        <f>1875+117</f>
        <v>1992</v>
      </c>
      <c r="E49" s="9">
        <v>1992</v>
      </c>
      <c r="F49" s="8">
        <f>2000-117+176</f>
        <v>2059</v>
      </c>
      <c r="G49" s="9">
        <v>2059</v>
      </c>
      <c r="H49" s="8">
        <f>2030.98-176</f>
        <v>1854.98</v>
      </c>
      <c r="I49" s="1">
        <v>0</v>
      </c>
      <c r="J49" s="5">
        <f t="shared" si="0"/>
        <v>5905.98</v>
      </c>
      <c r="K49" s="6">
        <f t="shared" si="0"/>
        <v>4051</v>
      </c>
      <c r="L49" s="40">
        <f t="shared" si="1"/>
        <v>1854.9799999999996</v>
      </c>
      <c r="M49" s="1">
        <v>2095</v>
      </c>
      <c r="N49" s="1">
        <v>1468</v>
      </c>
      <c r="O49" s="1">
        <v>2095</v>
      </c>
      <c r="P49" s="1"/>
      <c r="Q49" s="1">
        <f t="shared" si="11"/>
        <v>2095</v>
      </c>
      <c r="R49" s="1">
        <v>1734</v>
      </c>
      <c r="S49" s="9">
        <v>2126.2</v>
      </c>
      <c r="T49" s="1">
        <v>1835</v>
      </c>
      <c r="U49" s="38">
        <f t="shared" si="2"/>
        <v>6316.2</v>
      </c>
      <c r="V49" s="1">
        <f t="shared" si="2"/>
        <v>5037</v>
      </c>
      <c r="W49" s="7">
        <f t="shared" si="3"/>
        <v>1279.1999999999998</v>
      </c>
      <c r="X49" s="51">
        <v>2000</v>
      </c>
      <c r="Y49" s="50">
        <v>532</v>
      </c>
      <c r="Z49" s="9">
        <v>2087.1</v>
      </c>
      <c r="AA49" s="51"/>
      <c r="AB49" s="9">
        <f t="shared" si="12"/>
        <v>2087.1</v>
      </c>
      <c r="AC49" s="50">
        <v>1133</v>
      </c>
      <c r="AD49" s="9">
        <v>2087.1</v>
      </c>
      <c r="AE49" s="1">
        <v>2064</v>
      </c>
      <c r="AF49" s="38">
        <f t="shared" si="4"/>
        <v>6174.2</v>
      </c>
      <c r="AG49" s="1">
        <f t="shared" si="4"/>
        <v>3729</v>
      </c>
      <c r="AH49" s="7">
        <f t="shared" si="5"/>
        <v>2445.2</v>
      </c>
      <c r="AI49" s="9">
        <v>2087.1</v>
      </c>
      <c r="AJ49" s="9">
        <v>109</v>
      </c>
      <c r="AK49" s="9"/>
      <c r="AL49" s="1">
        <f t="shared" si="6"/>
        <v>2196.1</v>
      </c>
      <c r="AM49" s="58">
        <v>1904</v>
      </c>
      <c r="AN49" s="9">
        <f t="shared" si="7"/>
        <v>292.0999999999999</v>
      </c>
      <c r="AO49" s="9">
        <v>2087.1</v>
      </c>
      <c r="AP49" s="8">
        <v>56</v>
      </c>
      <c r="AQ49" s="8"/>
      <c r="AR49" s="3">
        <f t="shared" si="8"/>
        <v>2143.1</v>
      </c>
      <c r="AS49" s="10"/>
      <c r="AT49" s="9">
        <f t="shared" si="9"/>
        <v>2143.1</v>
      </c>
      <c r="AU49" s="9">
        <v>2087.1</v>
      </c>
      <c r="AV49" s="9">
        <v>37.5</v>
      </c>
      <c r="AW49" s="41"/>
      <c r="AX49" s="3">
        <f t="shared" si="10"/>
        <v>2124.6</v>
      </c>
    </row>
    <row r="50" spans="1:50" ht="11.25">
      <c r="A50" s="16">
        <v>45</v>
      </c>
      <c r="B50" s="23" t="s">
        <v>49</v>
      </c>
      <c r="C50" s="23" t="s">
        <v>21</v>
      </c>
      <c r="D50" s="8">
        <v>2250</v>
      </c>
      <c r="E50" s="9">
        <v>2242</v>
      </c>
      <c r="F50" s="8">
        <f>2400+2</f>
        <v>2402</v>
      </c>
      <c r="G50" s="9">
        <v>2402</v>
      </c>
      <c r="H50" s="8">
        <f>2437.19-2</f>
        <v>2435.19</v>
      </c>
      <c r="I50" s="1">
        <v>2426</v>
      </c>
      <c r="J50" s="5">
        <f t="shared" si="0"/>
        <v>7087.1900000000005</v>
      </c>
      <c r="K50" s="6">
        <f t="shared" si="0"/>
        <v>7070</v>
      </c>
      <c r="L50" s="37">
        <f t="shared" si="1"/>
        <v>17.19000000000051</v>
      </c>
      <c r="M50" s="1">
        <v>2514</v>
      </c>
      <c r="N50" s="1">
        <v>2497</v>
      </c>
      <c r="O50" s="1">
        <v>2514</v>
      </c>
      <c r="P50" s="1">
        <v>215.4</v>
      </c>
      <c r="Q50" s="1">
        <f>O50+P50+27.6</f>
        <v>2757</v>
      </c>
      <c r="R50" s="1">
        <v>2757</v>
      </c>
      <c r="S50" s="47">
        <f>2551.44-27.6</f>
        <v>2523.84</v>
      </c>
      <c r="T50" s="1">
        <v>2457</v>
      </c>
      <c r="U50" s="38">
        <f t="shared" si="2"/>
        <v>7794.84</v>
      </c>
      <c r="V50" s="1">
        <f t="shared" si="2"/>
        <v>7711</v>
      </c>
      <c r="W50" s="7">
        <f t="shared" si="3"/>
        <v>83.84000000000015</v>
      </c>
      <c r="X50" s="51">
        <v>2400</v>
      </c>
      <c r="Y50" s="50">
        <v>2388</v>
      </c>
      <c r="Z50" s="9">
        <v>2504.52</v>
      </c>
      <c r="AA50" s="51"/>
      <c r="AB50" s="9">
        <f>Z50+AA50+33.48</f>
        <v>2538</v>
      </c>
      <c r="AC50" s="50">
        <v>2538</v>
      </c>
      <c r="AD50" s="9">
        <f>2504.52-33.48</f>
        <v>2471.04</v>
      </c>
      <c r="AE50" s="1">
        <v>2445</v>
      </c>
      <c r="AF50" s="38">
        <f t="shared" si="4"/>
        <v>7409.04</v>
      </c>
      <c r="AG50" s="1">
        <f t="shared" si="4"/>
        <v>7371</v>
      </c>
      <c r="AH50" s="37">
        <f t="shared" si="5"/>
        <v>38.039999999999964</v>
      </c>
      <c r="AI50" s="9">
        <v>2504.52</v>
      </c>
      <c r="AJ50" s="9">
        <v>130.8</v>
      </c>
      <c r="AK50" s="9">
        <v>491.4</v>
      </c>
      <c r="AL50" s="1">
        <f t="shared" si="6"/>
        <v>3126.7200000000003</v>
      </c>
      <c r="AM50" s="58">
        <v>3126</v>
      </c>
      <c r="AN50" s="39">
        <f t="shared" si="7"/>
        <v>0.7200000000002547</v>
      </c>
      <c r="AO50" s="9">
        <v>2504.52</v>
      </c>
      <c r="AP50" s="8">
        <v>67.2</v>
      </c>
      <c r="AQ50" s="8">
        <v>307.68</v>
      </c>
      <c r="AR50" s="3">
        <f t="shared" si="8"/>
        <v>2879.3999999999996</v>
      </c>
      <c r="AS50" s="10"/>
      <c r="AT50" s="9">
        <f t="shared" si="9"/>
        <v>2879.3999999999996</v>
      </c>
      <c r="AU50" s="9">
        <v>2504.52</v>
      </c>
      <c r="AV50" s="9">
        <v>45</v>
      </c>
      <c r="AW50" s="41"/>
      <c r="AX50" s="3">
        <f t="shared" si="10"/>
        <v>2549.52</v>
      </c>
    </row>
    <row r="51" spans="1:50" ht="11.25">
      <c r="A51" s="18">
        <v>46</v>
      </c>
      <c r="B51" s="24" t="s">
        <v>50</v>
      </c>
      <c r="C51" s="24" t="s">
        <v>21</v>
      </c>
      <c r="D51" s="8">
        <v>1500</v>
      </c>
      <c r="E51" s="9">
        <v>1051</v>
      </c>
      <c r="F51" s="8">
        <v>1600</v>
      </c>
      <c r="G51" s="9">
        <v>1593</v>
      </c>
      <c r="H51" s="8">
        <v>1624.79</v>
      </c>
      <c r="I51" s="1">
        <v>2058</v>
      </c>
      <c r="J51" s="5">
        <f t="shared" si="0"/>
        <v>4724.79</v>
      </c>
      <c r="K51" s="6">
        <f t="shared" si="0"/>
        <v>4702</v>
      </c>
      <c r="L51" s="37">
        <f t="shared" si="1"/>
        <v>22.789999999999964</v>
      </c>
      <c r="M51" s="1">
        <v>1676</v>
      </c>
      <c r="N51" s="1">
        <v>1657</v>
      </c>
      <c r="O51" s="1">
        <v>1676</v>
      </c>
      <c r="P51" s="1">
        <v>143.6</v>
      </c>
      <c r="Q51" s="1">
        <f t="shared" si="11"/>
        <v>1819.6</v>
      </c>
      <c r="R51" s="1">
        <v>1706</v>
      </c>
      <c r="S51" s="9">
        <v>1700.96</v>
      </c>
      <c r="T51" s="1">
        <v>1815</v>
      </c>
      <c r="U51" s="38">
        <f t="shared" si="2"/>
        <v>5196.5599999999995</v>
      </c>
      <c r="V51" s="1">
        <f t="shared" si="2"/>
        <v>5178</v>
      </c>
      <c r="W51" s="37">
        <f t="shared" si="3"/>
        <v>18.55999999999949</v>
      </c>
      <c r="X51" s="51">
        <v>1600</v>
      </c>
      <c r="Y51" s="50">
        <v>1591</v>
      </c>
      <c r="Z51" s="9">
        <v>1669.68</v>
      </c>
      <c r="AA51" s="51">
        <v>177.6</v>
      </c>
      <c r="AB51" s="9">
        <f>Z51+AA51+24.72</f>
        <v>1872</v>
      </c>
      <c r="AC51" s="50">
        <v>1872</v>
      </c>
      <c r="AD51" s="9">
        <f>1669.68-24.72</f>
        <v>1644.96</v>
      </c>
      <c r="AE51" s="1">
        <v>1621</v>
      </c>
      <c r="AF51" s="38">
        <f t="shared" si="4"/>
        <v>5116.96</v>
      </c>
      <c r="AG51" s="1">
        <f t="shared" si="4"/>
        <v>5084</v>
      </c>
      <c r="AH51" s="37">
        <f t="shared" si="5"/>
        <v>32.960000000000036</v>
      </c>
      <c r="AI51" s="9">
        <v>1669.68</v>
      </c>
      <c r="AJ51" s="9">
        <v>87.2</v>
      </c>
      <c r="AK51" s="9">
        <v>327.6</v>
      </c>
      <c r="AL51" s="1">
        <f t="shared" si="6"/>
        <v>2084.48</v>
      </c>
      <c r="AM51" s="58">
        <v>1951</v>
      </c>
      <c r="AN51" s="9">
        <f t="shared" si="7"/>
        <v>133.48000000000002</v>
      </c>
      <c r="AO51" s="9">
        <v>1669.68</v>
      </c>
      <c r="AP51" s="8">
        <v>44.8</v>
      </c>
      <c r="AQ51" s="8"/>
      <c r="AR51" s="3">
        <f t="shared" si="8"/>
        <v>1714.48</v>
      </c>
      <c r="AS51" s="10"/>
      <c r="AT51" s="9">
        <f t="shared" si="9"/>
        <v>1714.48</v>
      </c>
      <c r="AU51" s="9">
        <v>1669.68</v>
      </c>
      <c r="AV51" s="9">
        <v>30</v>
      </c>
      <c r="AW51" s="41"/>
      <c r="AX51" s="3">
        <f t="shared" si="10"/>
        <v>1699.68</v>
      </c>
    </row>
    <row r="52" spans="1:50" ht="11.25">
      <c r="A52" s="16">
        <v>47</v>
      </c>
      <c r="B52" s="24" t="s">
        <v>51</v>
      </c>
      <c r="C52" s="24" t="s">
        <v>21</v>
      </c>
      <c r="D52" s="8">
        <f>1500+23</f>
        <v>1523</v>
      </c>
      <c r="E52" s="9">
        <v>1523</v>
      </c>
      <c r="F52" s="8">
        <f>1600-23+6</f>
        <v>1583</v>
      </c>
      <c r="G52" s="9">
        <v>1583</v>
      </c>
      <c r="H52" s="8">
        <f>1624.79-6</f>
        <v>1618.79</v>
      </c>
      <c r="I52" s="1">
        <v>1568.8</v>
      </c>
      <c r="J52" s="5">
        <f t="shared" si="0"/>
        <v>4724.79</v>
      </c>
      <c r="K52" s="6">
        <f t="shared" si="0"/>
        <v>4674.8</v>
      </c>
      <c r="L52" s="40">
        <f t="shared" si="1"/>
        <v>49.98999999999978</v>
      </c>
      <c r="M52" s="1">
        <v>1676</v>
      </c>
      <c r="N52" s="1">
        <v>1659</v>
      </c>
      <c r="O52" s="1">
        <v>1676</v>
      </c>
      <c r="P52" s="1"/>
      <c r="Q52" s="1">
        <f t="shared" si="11"/>
        <v>1676</v>
      </c>
      <c r="R52" s="1">
        <v>1659.6</v>
      </c>
      <c r="S52" s="47">
        <v>1700.96</v>
      </c>
      <c r="T52" s="1">
        <v>1687.8</v>
      </c>
      <c r="U52" s="38">
        <f t="shared" si="2"/>
        <v>5052.96</v>
      </c>
      <c r="V52" s="1">
        <f t="shared" si="2"/>
        <v>5006.4</v>
      </c>
      <c r="W52" s="7">
        <f t="shared" si="3"/>
        <v>46.5600000000004</v>
      </c>
      <c r="X52" s="51">
        <v>1600</v>
      </c>
      <c r="Y52" s="50">
        <v>1546.8</v>
      </c>
      <c r="Z52" s="9">
        <v>1669.68</v>
      </c>
      <c r="AA52" s="51"/>
      <c r="AB52" s="9">
        <f t="shared" si="12"/>
        <v>1669.68</v>
      </c>
      <c r="AC52" s="50">
        <v>1659</v>
      </c>
      <c r="AD52" s="9">
        <v>1669.68</v>
      </c>
      <c r="AE52" s="1">
        <v>1498.8</v>
      </c>
      <c r="AF52" s="38">
        <f t="shared" si="4"/>
        <v>4939.360000000001</v>
      </c>
      <c r="AG52" s="1">
        <f t="shared" si="4"/>
        <v>4704.6</v>
      </c>
      <c r="AH52" s="7">
        <f t="shared" si="5"/>
        <v>234.76000000000022</v>
      </c>
      <c r="AI52" s="9">
        <v>1669.68</v>
      </c>
      <c r="AJ52" s="9">
        <v>87.2</v>
      </c>
      <c r="AK52" s="9"/>
      <c r="AL52" s="1">
        <f t="shared" si="6"/>
        <v>1756.88</v>
      </c>
      <c r="AM52" s="58">
        <v>1691.8</v>
      </c>
      <c r="AN52" s="9">
        <f t="shared" si="7"/>
        <v>65.08000000000015</v>
      </c>
      <c r="AO52" s="9">
        <v>1669.68</v>
      </c>
      <c r="AP52" s="8">
        <v>44.8</v>
      </c>
      <c r="AQ52" s="8"/>
      <c r="AR52" s="3">
        <f t="shared" si="8"/>
        <v>1714.48</v>
      </c>
      <c r="AS52" s="10"/>
      <c r="AT52" s="9">
        <f t="shared" si="9"/>
        <v>1714.48</v>
      </c>
      <c r="AU52" s="9">
        <v>1669.68</v>
      </c>
      <c r="AV52" s="9">
        <v>30</v>
      </c>
      <c r="AW52" s="41"/>
      <c r="AX52" s="3">
        <f t="shared" si="10"/>
        <v>1699.68</v>
      </c>
    </row>
    <row r="53" spans="1:50" ht="11.25">
      <c r="A53" s="18">
        <v>48</v>
      </c>
      <c r="B53" s="24" t="s">
        <v>108</v>
      </c>
      <c r="C53" s="24" t="s">
        <v>21</v>
      </c>
      <c r="D53" s="8">
        <v>1500</v>
      </c>
      <c r="E53" s="9">
        <v>1464</v>
      </c>
      <c r="F53" s="8">
        <v>1600</v>
      </c>
      <c r="G53" s="9">
        <v>1460</v>
      </c>
      <c r="H53" s="8">
        <v>1624.79</v>
      </c>
      <c r="I53" s="1">
        <v>1763</v>
      </c>
      <c r="J53" s="5">
        <f t="shared" si="0"/>
        <v>4724.79</v>
      </c>
      <c r="K53" s="6">
        <f t="shared" si="0"/>
        <v>4687</v>
      </c>
      <c r="L53" s="37">
        <f t="shared" si="1"/>
        <v>37.789999999999964</v>
      </c>
      <c r="M53" s="1">
        <v>1676</v>
      </c>
      <c r="N53" s="1">
        <v>1382</v>
      </c>
      <c r="O53" s="1">
        <v>1676</v>
      </c>
      <c r="P53" s="1">
        <v>143.6</v>
      </c>
      <c r="Q53" s="1">
        <f t="shared" si="11"/>
        <v>1819.6</v>
      </c>
      <c r="R53" s="1">
        <v>1554</v>
      </c>
      <c r="S53" s="9">
        <v>1700.96</v>
      </c>
      <c r="T53" s="1">
        <v>2248</v>
      </c>
      <c r="U53" s="38">
        <f t="shared" si="2"/>
        <v>5196.5599999999995</v>
      </c>
      <c r="V53" s="1">
        <f t="shared" si="2"/>
        <v>5184</v>
      </c>
      <c r="W53" s="37">
        <f t="shared" si="3"/>
        <v>12.55999999999949</v>
      </c>
      <c r="X53" s="51">
        <v>1600</v>
      </c>
      <c r="Y53" s="50">
        <v>1592</v>
      </c>
      <c r="Z53" s="9">
        <v>1669.68</v>
      </c>
      <c r="AA53" s="51">
        <v>177.6</v>
      </c>
      <c r="AB53" s="9">
        <f t="shared" si="12"/>
        <v>1847.28</v>
      </c>
      <c r="AC53" s="50">
        <v>1419.4</v>
      </c>
      <c r="AD53" s="9">
        <v>1669.68</v>
      </c>
      <c r="AE53" s="1">
        <v>2062.8</v>
      </c>
      <c r="AF53" s="38">
        <f t="shared" si="4"/>
        <v>5116.96</v>
      </c>
      <c r="AG53" s="1">
        <f t="shared" si="4"/>
        <v>5074.200000000001</v>
      </c>
      <c r="AH53" s="7">
        <f t="shared" si="5"/>
        <v>42.75999999999931</v>
      </c>
      <c r="AI53" s="9">
        <v>1669.68</v>
      </c>
      <c r="AJ53" s="9">
        <v>87.2</v>
      </c>
      <c r="AK53" s="9"/>
      <c r="AL53" s="1">
        <f t="shared" si="6"/>
        <v>1756.88</v>
      </c>
      <c r="AM53" s="58">
        <v>1639</v>
      </c>
      <c r="AN53" s="9">
        <f t="shared" si="7"/>
        <v>117.88000000000011</v>
      </c>
      <c r="AO53" s="9">
        <v>1669.68</v>
      </c>
      <c r="AP53" s="8">
        <v>44.8</v>
      </c>
      <c r="AQ53" s="8"/>
      <c r="AR53" s="3">
        <f t="shared" si="8"/>
        <v>1714.48</v>
      </c>
      <c r="AS53" s="10"/>
      <c r="AT53" s="9">
        <f t="shared" si="9"/>
        <v>1714.48</v>
      </c>
      <c r="AU53" s="9">
        <v>1669.68</v>
      </c>
      <c r="AV53" s="9">
        <v>30</v>
      </c>
      <c r="AW53" s="41"/>
      <c r="AX53" s="3">
        <f t="shared" si="10"/>
        <v>1699.68</v>
      </c>
    </row>
    <row r="54" spans="1:50" ht="11.25">
      <c r="A54" s="16">
        <v>49</v>
      </c>
      <c r="B54" s="24" t="s">
        <v>96</v>
      </c>
      <c r="C54" s="24" t="s">
        <v>21</v>
      </c>
      <c r="D54" s="8">
        <v>1500</v>
      </c>
      <c r="E54" s="9">
        <v>1487</v>
      </c>
      <c r="F54" s="8">
        <v>1600</v>
      </c>
      <c r="G54" s="9">
        <v>1507.8</v>
      </c>
      <c r="H54" s="8">
        <v>1624.79</v>
      </c>
      <c r="I54" s="1">
        <v>1688</v>
      </c>
      <c r="J54" s="5">
        <f t="shared" si="0"/>
        <v>4724.79</v>
      </c>
      <c r="K54" s="6">
        <f t="shared" si="0"/>
        <v>4682.8</v>
      </c>
      <c r="L54" s="40">
        <f t="shared" si="1"/>
        <v>41.98999999999978</v>
      </c>
      <c r="M54" s="1">
        <v>1676</v>
      </c>
      <c r="N54" s="1">
        <v>1672</v>
      </c>
      <c r="O54" s="1">
        <v>1676</v>
      </c>
      <c r="P54" s="1"/>
      <c r="Q54" s="1">
        <f t="shared" si="11"/>
        <v>1676</v>
      </c>
      <c r="R54" s="1">
        <v>1634</v>
      </c>
      <c r="S54" s="47">
        <v>1700.96</v>
      </c>
      <c r="T54" s="1">
        <v>1713</v>
      </c>
      <c r="U54" s="38">
        <f t="shared" si="2"/>
        <v>5052.96</v>
      </c>
      <c r="V54" s="1">
        <f t="shared" si="2"/>
        <v>5019</v>
      </c>
      <c r="W54" s="37">
        <f t="shared" si="3"/>
        <v>33.960000000000036</v>
      </c>
      <c r="X54" s="51">
        <v>1600</v>
      </c>
      <c r="Y54" s="50">
        <v>1486</v>
      </c>
      <c r="Z54" s="9">
        <v>1669.68</v>
      </c>
      <c r="AA54" s="51">
        <v>177.6</v>
      </c>
      <c r="AB54" s="9">
        <f t="shared" si="12"/>
        <v>1847.28</v>
      </c>
      <c r="AC54" s="50">
        <v>1761</v>
      </c>
      <c r="AD54" s="9">
        <v>1669.68</v>
      </c>
      <c r="AE54" s="1">
        <v>1823</v>
      </c>
      <c r="AF54" s="38">
        <f t="shared" si="4"/>
        <v>5116.96</v>
      </c>
      <c r="AG54" s="1">
        <f t="shared" si="4"/>
        <v>5070</v>
      </c>
      <c r="AH54" s="7">
        <f t="shared" si="5"/>
        <v>46.960000000000036</v>
      </c>
      <c r="AI54" s="9">
        <v>0</v>
      </c>
      <c r="AJ54" s="9">
        <v>0</v>
      </c>
      <c r="AK54" s="9"/>
      <c r="AL54" s="1">
        <v>0</v>
      </c>
      <c r="AM54" s="58">
        <v>0</v>
      </c>
      <c r="AN54" s="9"/>
      <c r="AO54" s="9">
        <v>0</v>
      </c>
      <c r="AP54" s="8"/>
      <c r="AQ54" s="8"/>
      <c r="AR54" s="3">
        <f t="shared" si="8"/>
        <v>0</v>
      </c>
      <c r="AS54" s="10"/>
      <c r="AT54" s="9">
        <f t="shared" si="9"/>
        <v>0</v>
      </c>
      <c r="AU54" s="9">
        <v>0</v>
      </c>
      <c r="AV54" s="9"/>
      <c r="AW54" s="41"/>
      <c r="AX54" s="3">
        <f t="shared" si="10"/>
        <v>0</v>
      </c>
    </row>
    <row r="55" spans="1:50" ht="11.25">
      <c r="A55" s="18">
        <v>50</v>
      </c>
      <c r="B55" s="24" t="s">
        <v>52</v>
      </c>
      <c r="C55" s="24" t="s">
        <v>21</v>
      </c>
      <c r="D55" s="8">
        <v>1500</v>
      </c>
      <c r="E55" s="9">
        <v>1489</v>
      </c>
      <c r="F55" s="8">
        <v>1600</v>
      </c>
      <c r="G55" s="9">
        <v>1559</v>
      </c>
      <c r="H55" s="8">
        <v>1624.79</v>
      </c>
      <c r="I55" s="1">
        <v>1624</v>
      </c>
      <c r="J55" s="5">
        <f t="shared" si="0"/>
        <v>4724.79</v>
      </c>
      <c r="K55" s="6">
        <f t="shared" si="0"/>
        <v>4672</v>
      </c>
      <c r="L55" s="40">
        <f t="shared" si="1"/>
        <v>52.789999999999964</v>
      </c>
      <c r="M55" s="1">
        <v>1676</v>
      </c>
      <c r="N55" s="1">
        <v>1630</v>
      </c>
      <c r="O55" s="1">
        <v>1676</v>
      </c>
      <c r="P55" s="1"/>
      <c r="Q55" s="1">
        <f t="shared" si="11"/>
        <v>1676</v>
      </c>
      <c r="R55" s="1">
        <v>1609.8</v>
      </c>
      <c r="S55" s="9">
        <v>1700.96</v>
      </c>
      <c r="T55" s="1">
        <v>1812</v>
      </c>
      <c r="U55" s="38">
        <f t="shared" si="2"/>
        <v>5052.96</v>
      </c>
      <c r="V55" s="1">
        <f t="shared" si="2"/>
        <v>5051.8</v>
      </c>
      <c r="W55" s="37">
        <f t="shared" si="3"/>
        <v>1.1599999999998545</v>
      </c>
      <c r="X55" s="51">
        <v>1600</v>
      </c>
      <c r="Y55" s="50">
        <v>1568</v>
      </c>
      <c r="Z55" s="9">
        <v>1669.68</v>
      </c>
      <c r="AA55" s="51">
        <v>177.6</v>
      </c>
      <c r="AB55" s="9">
        <f t="shared" si="12"/>
        <v>1847.28</v>
      </c>
      <c r="AC55" s="50">
        <v>1609.8</v>
      </c>
      <c r="AD55" s="9">
        <v>1669.68</v>
      </c>
      <c r="AE55" s="1">
        <v>1933.6</v>
      </c>
      <c r="AF55" s="38">
        <f t="shared" si="4"/>
        <v>5116.96</v>
      </c>
      <c r="AG55" s="1">
        <f t="shared" si="4"/>
        <v>5111.4</v>
      </c>
      <c r="AH55" s="37">
        <f t="shared" si="5"/>
        <v>5.5600000000004</v>
      </c>
      <c r="AI55" s="9">
        <v>1669.68</v>
      </c>
      <c r="AJ55" s="9">
        <v>87.2</v>
      </c>
      <c r="AK55" s="9">
        <v>327.6</v>
      </c>
      <c r="AL55" s="1">
        <f t="shared" si="6"/>
        <v>2084.48</v>
      </c>
      <c r="AM55" s="58">
        <v>2035.6</v>
      </c>
      <c r="AN55" s="9">
        <f t="shared" si="7"/>
        <v>48.88000000000011</v>
      </c>
      <c r="AO55" s="9">
        <v>1669.68</v>
      </c>
      <c r="AP55" s="8">
        <v>44.8</v>
      </c>
      <c r="AQ55" s="8"/>
      <c r="AR55" s="3">
        <f t="shared" si="8"/>
        <v>1714.48</v>
      </c>
      <c r="AS55" s="10"/>
      <c r="AT55" s="9">
        <f t="shared" si="9"/>
        <v>1714.48</v>
      </c>
      <c r="AU55" s="9">
        <v>1669.68</v>
      </c>
      <c r="AV55" s="9">
        <v>30</v>
      </c>
      <c r="AW55" s="41"/>
      <c r="AX55" s="3">
        <f t="shared" si="10"/>
        <v>1699.68</v>
      </c>
    </row>
    <row r="56" spans="1:50" ht="11.25">
      <c r="A56" s="16">
        <v>51</v>
      </c>
      <c r="B56" s="24" t="s">
        <v>53</v>
      </c>
      <c r="C56" s="24" t="s">
        <v>23</v>
      </c>
      <c r="D56" s="8">
        <v>2250</v>
      </c>
      <c r="E56" s="9">
        <v>1738.2</v>
      </c>
      <c r="F56" s="8">
        <v>2400</v>
      </c>
      <c r="G56" s="9">
        <v>2398</v>
      </c>
      <c r="H56" s="8">
        <v>2437.18</v>
      </c>
      <c r="I56" s="1">
        <v>2920.2</v>
      </c>
      <c r="J56" s="5">
        <f t="shared" si="0"/>
        <v>7087.18</v>
      </c>
      <c r="K56" s="6">
        <f t="shared" si="0"/>
        <v>7056.4</v>
      </c>
      <c r="L56" s="37">
        <f t="shared" si="1"/>
        <v>30.780000000000655</v>
      </c>
      <c r="M56" s="1">
        <v>2514</v>
      </c>
      <c r="N56" s="1">
        <v>2512.8</v>
      </c>
      <c r="O56" s="1">
        <v>2514</v>
      </c>
      <c r="P56" s="1">
        <v>215.4</v>
      </c>
      <c r="Q56" s="1">
        <f t="shared" si="11"/>
        <v>2729.4</v>
      </c>
      <c r="R56" s="1">
        <v>2635</v>
      </c>
      <c r="S56" s="47">
        <v>2551.44</v>
      </c>
      <c r="T56" s="1">
        <v>2644</v>
      </c>
      <c r="U56" s="38">
        <f t="shared" si="2"/>
        <v>7794.84</v>
      </c>
      <c r="V56" s="1">
        <f t="shared" si="2"/>
        <v>7791.8</v>
      </c>
      <c r="W56" s="37">
        <f t="shared" si="3"/>
        <v>3.0399999999999636</v>
      </c>
      <c r="X56" s="51">
        <v>2400</v>
      </c>
      <c r="Y56" s="50">
        <v>2346</v>
      </c>
      <c r="Z56" s="9">
        <v>2504.52</v>
      </c>
      <c r="AA56" s="51">
        <v>266.4</v>
      </c>
      <c r="AB56" s="9">
        <f t="shared" si="12"/>
        <v>2770.92</v>
      </c>
      <c r="AC56" s="50">
        <v>2770</v>
      </c>
      <c r="AD56" s="9">
        <v>2504.52</v>
      </c>
      <c r="AE56" s="1">
        <v>2552</v>
      </c>
      <c r="AF56" s="38">
        <f t="shared" si="4"/>
        <v>7675.4400000000005</v>
      </c>
      <c r="AG56" s="1">
        <f t="shared" si="4"/>
        <v>7668</v>
      </c>
      <c r="AH56" s="37">
        <f t="shared" si="5"/>
        <v>7.440000000000509</v>
      </c>
      <c r="AI56" s="9">
        <v>2504.52</v>
      </c>
      <c r="AJ56" s="9">
        <v>130.8</v>
      </c>
      <c r="AK56" s="9">
        <v>491.4</v>
      </c>
      <c r="AL56" s="1">
        <f t="shared" si="6"/>
        <v>3126.7200000000003</v>
      </c>
      <c r="AM56" s="58">
        <v>3120</v>
      </c>
      <c r="AN56" s="39">
        <f t="shared" si="7"/>
        <v>6.720000000000255</v>
      </c>
      <c r="AO56" s="9">
        <v>2504.52</v>
      </c>
      <c r="AP56" s="8">
        <v>67.2</v>
      </c>
      <c r="AQ56" s="8">
        <v>307.68</v>
      </c>
      <c r="AR56" s="3">
        <f t="shared" si="8"/>
        <v>2879.3999999999996</v>
      </c>
      <c r="AS56" s="10"/>
      <c r="AT56" s="9">
        <f t="shared" si="9"/>
        <v>2879.3999999999996</v>
      </c>
      <c r="AU56" s="9">
        <v>2504.52</v>
      </c>
      <c r="AV56" s="9">
        <v>45</v>
      </c>
      <c r="AW56" s="41"/>
      <c r="AX56" s="3">
        <f t="shared" si="10"/>
        <v>2549.52</v>
      </c>
    </row>
    <row r="57" spans="1:50" ht="11.25">
      <c r="A57" s="18">
        <v>52</v>
      </c>
      <c r="B57" s="24" t="s">
        <v>54</v>
      </c>
      <c r="C57" s="24" t="s">
        <v>20</v>
      </c>
      <c r="D57" s="8">
        <v>1875</v>
      </c>
      <c r="E57" s="9">
        <v>1862</v>
      </c>
      <c r="F57" s="8">
        <v>2000</v>
      </c>
      <c r="G57" s="9">
        <v>2000</v>
      </c>
      <c r="H57" s="8">
        <v>2030.98</v>
      </c>
      <c r="I57" s="1">
        <v>2043</v>
      </c>
      <c r="J57" s="5">
        <f t="shared" si="0"/>
        <v>5905.98</v>
      </c>
      <c r="K57" s="6">
        <f t="shared" si="0"/>
        <v>5905</v>
      </c>
      <c r="L57" s="37">
        <f t="shared" si="1"/>
        <v>0.9799999999995634</v>
      </c>
      <c r="M57" s="1">
        <v>2095</v>
      </c>
      <c r="N57" s="1">
        <v>2089</v>
      </c>
      <c r="O57" s="1">
        <v>2095</v>
      </c>
      <c r="P57" s="1">
        <v>179.5</v>
      </c>
      <c r="Q57" s="1">
        <f t="shared" si="11"/>
        <v>2274.5</v>
      </c>
      <c r="R57" s="1">
        <v>2038</v>
      </c>
      <c r="S57" s="9">
        <v>2126.2</v>
      </c>
      <c r="T57" s="1">
        <v>2365</v>
      </c>
      <c r="U57" s="38">
        <f t="shared" si="2"/>
        <v>6495.7</v>
      </c>
      <c r="V57" s="1">
        <f t="shared" si="2"/>
        <v>6492</v>
      </c>
      <c r="W57" s="37">
        <f t="shared" si="3"/>
        <v>3.699999999999818</v>
      </c>
      <c r="X57" s="51">
        <v>2000</v>
      </c>
      <c r="Y57" s="50">
        <v>1988</v>
      </c>
      <c r="Z57" s="9">
        <v>2087.1</v>
      </c>
      <c r="AA57" s="51">
        <v>222.9</v>
      </c>
      <c r="AB57" s="9">
        <f t="shared" si="12"/>
        <v>2310</v>
      </c>
      <c r="AC57" s="50">
        <v>1964</v>
      </c>
      <c r="AD57" s="9">
        <v>2087.1</v>
      </c>
      <c r="AE57" s="1">
        <v>2226</v>
      </c>
      <c r="AF57" s="38">
        <f t="shared" si="4"/>
        <v>6397.1</v>
      </c>
      <c r="AG57" s="1">
        <f t="shared" si="4"/>
        <v>6178</v>
      </c>
      <c r="AH57" s="7">
        <f t="shared" si="5"/>
        <v>219.10000000000036</v>
      </c>
      <c r="AI57" s="9">
        <v>2087.1</v>
      </c>
      <c r="AJ57" s="9">
        <v>109</v>
      </c>
      <c r="AK57" s="9"/>
      <c r="AL57" s="1">
        <f t="shared" si="6"/>
        <v>2196.1</v>
      </c>
      <c r="AM57" s="58">
        <v>2185</v>
      </c>
      <c r="AN57" s="39">
        <f t="shared" si="7"/>
        <v>11.099999999999909</v>
      </c>
      <c r="AO57" s="9">
        <v>2087.1</v>
      </c>
      <c r="AP57" s="8">
        <v>56</v>
      </c>
      <c r="AQ57" s="8">
        <v>256.4</v>
      </c>
      <c r="AR57" s="3">
        <f t="shared" si="8"/>
        <v>2399.5</v>
      </c>
      <c r="AS57" s="10"/>
      <c r="AT57" s="9">
        <f t="shared" si="9"/>
        <v>2399.5</v>
      </c>
      <c r="AU57" s="9">
        <v>2087.1</v>
      </c>
      <c r="AV57" s="9">
        <v>37.5</v>
      </c>
      <c r="AW57" s="41"/>
      <c r="AX57" s="3">
        <f t="shared" si="10"/>
        <v>2124.6</v>
      </c>
    </row>
    <row r="58" spans="1:50" ht="11.25">
      <c r="A58" s="16">
        <v>53</v>
      </c>
      <c r="B58" s="12" t="s">
        <v>120</v>
      </c>
      <c r="C58" s="24" t="s">
        <v>21</v>
      </c>
      <c r="D58" s="8">
        <v>1500</v>
      </c>
      <c r="E58" s="9">
        <v>1428</v>
      </c>
      <c r="F58" s="8">
        <v>1600</v>
      </c>
      <c r="G58" s="9">
        <v>1556.8</v>
      </c>
      <c r="H58" s="8">
        <v>1624.79</v>
      </c>
      <c r="I58" s="1">
        <v>1632</v>
      </c>
      <c r="J58" s="5">
        <f t="shared" si="0"/>
        <v>4724.79</v>
      </c>
      <c r="K58" s="6">
        <f t="shared" si="0"/>
        <v>4616.8</v>
      </c>
      <c r="L58" s="40">
        <f t="shared" si="1"/>
        <v>107.98999999999978</v>
      </c>
      <c r="M58" s="1">
        <f>1676+13.6</f>
        <v>1689.6</v>
      </c>
      <c r="N58" s="1">
        <v>1689.6</v>
      </c>
      <c r="O58" s="1">
        <v>1676</v>
      </c>
      <c r="P58" s="1"/>
      <c r="Q58" s="1">
        <f>O58+P58-13.6</f>
        <v>1662.4</v>
      </c>
      <c r="R58" s="9">
        <v>1370.6</v>
      </c>
      <c r="S58" s="47">
        <v>1700.96</v>
      </c>
      <c r="T58" s="1">
        <v>1474.8</v>
      </c>
      <c r="U58" s="38">
        <f t="shared" si="2"/>
        <v>5052.96</v>
      </c>
      <c r="V58" s="1">
        <f t="shared" si="2"/>
        <v>4535</v>
      </c>
      <c r="W58" s="7">
        <f t="shared" si="3"/>
        <v>517.96</v>
      </c>
      <c r="X58" s="51">
        <f>1600+100</f>
        <v>1700</v>
      </c>
      <c r="Y58" s="50">
        <v>1700</v>
      </c>
      <c r="Z58" s="9">
        <f>1669.68-100</f>
        <v>1569.68</v>
      </c>
      <c r="AA58" s="51"/>
      <c r="AB58" s="9">
        <f t="shared" si="12"/>
        <v>1569.68</v>
      </c>
      <c r="AC58" s="50">
        <v>1551.4</v>
      </c>
      <c r="AD58" s="9">
        <v>1669.68</v>
      </c>
      <c r="AE58" s="1">
        <v>0</v>
      </c>
      <c r="AF58" s="38">
        <f t="shared" si="4"/>
        <v>4939.360000000001</v>
      </c>
      <c r="AG58" s="1">
        <f t="shared" si="4"/>
        <v>3251.4</v>
      </c>
      <c r="AH58" s="7">
        <f t="shared" si="5"/>
        <v>1687.9600000000005</v>
      </c>
      <c r="AI58" s="9">
        <v>1669.68</v>
      </c>
      <c r="AJ58" s="9">
        <v>87.2</v>
      </c>
      <c r="AK58" s="9"/>
      <c r="AL58" s="1">
        <f t="shared" si="6"/>
        <v>1756.88</v>
      </c>
      <c r="AM58" s="58">
        <v>1753.8</v>
      </c>
      <c r="AN58" s="39">
        <f t="shared" si="7"/>
        <v>3.0800000000001546</v>
      </c>
      <c r="AO58" s="9">
        <v>1669.68</v>
      </c>
      <c r="AP58" s="8">
        <v>44.8</v>
      </c>
      <c r="AQ58" s="8">
        <v>205.12</v>
      </c>
      <c r="AR58" s="3">
        <f t="shared" si="8"/>
        <v>1919.6</v>
      </c>
      <c r="AS58" s="10"/>
      <c r="AT58" s="9">
        <f t="shared" si="9"/>
        <v>1919.6</v>
      </c>
      <c r="AU58" s="9">
        <v>1669.68</v>
      </c>
      <c r="AV58" s="9">
        <v>30</v>
      </c>
      <c r="AW58" s="41"/>
      <c r="AX58" s="3">
        <f t="shared" si="10"/>
        <v>1699.68</v>
      </c>
    </row>
    <row r="59" spans="1:50" ht="11.25">
      <c r="A59" s="18">
        <v>54</v>
      </c>
      <c r="B59" s="45" t="s">
        <v>127</v>
      </c>
      <c r="C59" s="24" t="s">
        <v>21</v>
      </c>
      <c r="D59" s="8">
        <f>1500+76.4</f>
        <v>1576.4</v>
      </c>
      <c r="E59" s="9">
        <v>1576.4</v>
      </c>
      <c r="F59" s="8">
        <f>1600-76.4+77.8</f>
        <v>1601.3999999999999</v>
      </c>
      <c r="G59" s="9">
        <v>1601.4</v>
      </c>
      <c r="H59" s="8">
        <f>1624.79-77.8</f>
        <v>1546.99</v>
      </c>
      <c r="I59" s="1">
        <v>1534.6</v>
      </c>
      <c r="J59" s="5">
        <f t="shared" si="0"/>
        <v>4724.79</v>
      </c>
      <c r="K59" s="6">
        <f t="shared" si="0"/>
        <v>4712.4</v>
      </c>
      <c r="L59" s="37">
        <f t="shared" si="1"/>
        <v>12.390000000000327</v>
      </c>
      <c r="M59" s="1">
        <v>1676</v>
      </c>
      <c r="N59" s="1">
        <v>1594.6</v>
      </c>
      <c r="O59" s="1">
        <v>1676</v>
      </c>
      <c r="P59" s="1">
        <v>143.6</v>
      </c>
      <c r="Q59" s="1">
        <f t="shared" si="11"/>
        <v>1819.6</v>
      </c>
      <c r="R59" s="9">
        <v>1500.8</v>
      </c>
      <c r="S59" s="9">
        <v>1700.96</v>
      </c>
      <c r="T59" s="1">
        <v>1591.8</v>
      </c>
      <c r="U59" s="38">
        <f t="shared" si="2"/>
        <v>5196.5599999999995</v>
      </c>
      <c r="V59" s="1">
        <f t="shared" si="2"/>
        <v>4687.2</v>
      </c>
      <c r="W59" s="7">
        <f t="shared" si="3"/>
        <v>509.3599999999997</v>
      </c>
      <c r="X59" s="51">
        <v>1600</v>
      </c>
      <c r="Y59" s="50">
        <v>1346.8</v>
      </c>
      <c r="Z59" s="9"/>
      <c r="AA59" s="51"/>
      <c r="AB59" s="9">
        <f t="shared" si="12"/>
        <v>0</v>
      </c>
      <c r="AC59" s="50"/>
      <c r="AD59" s="9"/>
      <c r="AE59" s="1"/>
      <c r="AF59" s="38">
        <f t="shared" si="4"/>
        <v>1600</v>
      </c>
      <c r="AG59" s="1">
        <f t="shared" si="4"/>
        <v>1346.8</v>
      </c>
      <c r="AH59" s="7">
        <f t="shared" si="5"/>
        <v>253.20000000000005</v>
      </c>
      <c r="AI59" s="9"/>
      <c r="AJ59" s="9"/>
      <c r="AK59" s="9"/>
      <c r="AL59" s="1">
        <f t="shared" si="6"/>
        <v>0</v>
      </c>
      <c r="AM59" s="58"/>
      <c r="AN59" s="9"/>
      <c r="AO59" s="9"/>
      <c r="AP59" s="8"/>
      <c r="AQ59" s="8"/>
      <c r="AR59" s="3">
        <f t="shared" si="8"/>
        <v>0</v>
      </c>
      <c r="AS59" s="10"/>
      <c r="AT59" s="9">
        <f t="shared" si="9"/>
        <v>0</v>
      </c>
      <c r="AU59" s="9"/>
      <c r="AV59" s="9"/>
      <c r="AW59" s="41"/>
      <c r="AX59" s="3">
        <f t="shared" si="10"/>
        <v>0</v>
      </c>
    </row>
    <row r="60" spans="1:50" ht="11.25">
      <c r="A60" s="16">
        <v>55</v>
      </c>
      <c r="B60" s="45" t="s">
        <v>139</v>
      </c>
      <c r="C60" s="24" t="s">
        <v>21</v>
      </c>
      <c r="D60" s="8"/>
      <c r="E60" s="9"/>
      <c r="F60" s="8"/>
      <c r="G60" s="9"/>
      <c r="H60" s="8"/>
      <c r="I60" s="1"/>
      <c r="J60" s="5"/>
      <c r="K60" s="6"/>
      <c r="L60" s="37"/>
      <c r="M60" s="1"/>
      <c r="N60" s="1"/>
      <c r="O60" s="1"/>
      <c r="P60" s="1"/>
      <c r="Q60" s="1"/>
      <c r="R60" s="9"/>
      <c r="S60" s="9"/>
      <c r="T60" s="1"/>
      <c r="U60" s="38"/>
      <c r="V60" s="1"/>
      <c r="W60" s="7"/>
      <c r="X60" s="51"/>
      <c r="Y60" s="50"/>
      <c r="Z60" s="9">
        <v>1669.68</v>
      </c>
      <c r="AA60" s="51"/>
      <c r="AB60" s="9">
        <f t="shared" si="12"/>
        <v>1669.68</v>
      </c>
      <c r="AC60" s="50">
        <v>0</v>
      </c>
      <c r="AD60" s="9">
        <v>1669.68</v>
      </c>
      <c r="AE60" s="1">
        <v>3109.4</v>
      </c>
      <c r="AF60" s="38">
        <f t="shared" si="4"/>
        <v>3339.36</v>
      </c>
      <c r="AG60" s="1">
        <f t="shared" si="4"/>
        <v>3109.4</v>
      </c>
      <c r="AH60" s="7">
        <f t="shared" si="5"/>
        <v>229.96000000000004</v>
      </c>
      <c r="AI60" s="9">
        <v>1669.68</v>
      </c>
      <c r="AJ60" s="9">
        <v>87.2</v>
      </c>
      <c r="AK60" s="9"/>
      <c r="AL60" s="1">
        <f t="shared" si="6"/>
        <v>1756.88</v>
      </c>
      <c r="AM60" s="58">
        <v>0</v>
      </c>
      <c r="AN60" s="9">
        <f t="shared" si="7"/>
        <v>1756.88</v>
      </c>
      <c r="AO60" s="9">
        <v>0</v>
      </c>
      <c r="AP60" s="8">
        <v>0</v>
      </c>
      <c r="AQ60" s="8"/>
      <c r="AR60" s="3">
        <f t="shared" si="8"/>
        <v>0</v>
      </c>
      <c r="AS60" s="10"/>
      <c r="AT60" s="9">
        <f t="shared" si="9"/>
        <v>0</v>
      </c>
      <c r="AU60" s="9">
        <v>0</v>
      </c>
      <c r="AV60" s="9"/>
      <c r="AW60" s="41"/>
      <c r="AX60" s="3">
        <f t="shared" si="10"/>
        <v>0</v>
      </c>
    </row>
    <row r="61" spans="1:50" ht="11.25">
      <c r="A61" s="18">
        <v>56</v>
      </c>
      <c r="B61" s="24" t="s">
        <v>114</v>
      </c>
      <c r="C61" s="24" t="s">
        <v>21</v>
      </c>
      <c r="D61" s="8">
        <v>1500</v>
      </c>
      <c r="E61" s="9">
        <v>0</v>
      </c>
      <c r="F61" s="8">
        <v>1600</v>
      </c>
      <c r="G61" s="9">
        <v>0</v>
      </c>
      <c r="H61" s="8">
        <v>1624.79</v>
      </c>
      <c r="I61" s="1">
        <v>0</v>
      </c>
      <c r="J61" s="5">
        <f t="shared" si="0"/>
        <v>4724.79</v>
      </c>
      <c r="K61" s="6">
        <f t="shared" si="0"/>
        <v>0</v>
      </c>
      <c r="L61" s="40">
        <f t="shared" si="1"/>
        <v>4724.79</v>
      </c>
      <c r="M61" s="1">
        <v>1676</v>
      </c>
      <c r="N61" s="1">
        <v>0</v>
      </c>
      <c r="O61" s="1">
        <v>1676</v>
      </c>
      <c r="P61" s="1"/>
      <c r="Q61" s="1">
        <f t="shared" si="11"/>
        <v>1676</v>
      </c>
      <c r="R61" s="1">
        <v>0</v>
      </c>
      <c r="S61" s="47">
        <v>0</v>
      </c>
      <c r="T61" s="1">
        <v>0</v>
      </c>
      <c r="U61" s="38">
        <f t="shared" si="2"/>
        <v>3352</v>
      </c>
      <c r="V61" s="1">
        <f t="shared" si="2"/>
        <v>0</v>
      </c>
      <c r="W61" s="7">
        <f t="shared" si="3"/>
        <v>3352</v>
      </c>
      <c r="X61" s="51">
        <v>0</v>
      </c>
      <c r="Y61" s="50"/>
      <c r="Z61" s="9"/>
      <c r="AA61" s="51"/>
      <c r="AB61" s="9">
        <f t="shared" si="12"/>
        <v>0</v>
      </c>
      <c r="AC61" s="50"/>
      <c r="AD61" s="9"/>
      <c r="AE61" s="1"/>
      <c r="AF61" s="38">
        <f t="shared" si="4"/>
        <v>0</v>
      </c>
      <c r="AG61" s="1">
        <f t="shared" si="4"/>
        <v>0</v>
      </c>
      <c r="AH61" s="7"/>
      <c r="AI61" s="9"/>
      <c r="AJ61" s="9"/>
      <c r="AK61" s="9"/>
      <c r="AL61" s="1">
        <f t="shared" si="6"/>
        <v>0</v>
      </c>
      <c r="AM61" s="58"/>
      <c r="AN61" s="9"/>
      <c r="AO61" s="9"/>
      <c r="AP61" s="8"/>
      <c r="AQ61" s="8"/>
      <c r="AR61" s="3">
        <f t="shared" si="8"/>
        <v>0</v>
      </c>
      <c r="AS61" s="10"/>
      <c r="AT61" s="9">
        <f t="shared" si="9"/>
        <v>0</v>
      </c>
      <c r="AU61" s="9"/>
      <c r="AV61" s="9"/>
      <c r="AW61" s="41"/>
      <c r="AX61" s="3">
        <f t="shared" si="10"/>
        <v>0</v>
      </c>
    </row>
    <row r="62" spans="1:50" ht="11.25">
      <c r="A62" s="16">
        <v>57</v>
      </c>
      <c r="B62" s="23" t="s">
        <v>55</v>
      </c>
      <c r="C62" s="23" t="s">
        <v>21</v>
      </c>
      <c r="D62" s="8">
        <v>2250</v>
      </c>
      <c r="E62" s="9">
        <v>1988</v>
      </c>
      <c r="F62" s="8">
        <v>2400</v>
      </c>
      <c r="G62" s="9">
        <v>2386</v>
      </c>
      <c r="H62" s="8">
        <v>2437.19</v>
      </c>
      <c r="I62" s="1">
        <v>2710</v>
      </c>
      <c r="J62" s="5">
        <f t="shared" si="0"/>
        <v>7087.1900000000005</v>
      </c>
      <c r="K62" s="6">
        <f t="shared" si="0"/>
        <v>7084</v>
      </c>
      <c r="L62" s="37">
        <f t="shared" si="1"/>
        <v>3.1900000000005093</v>
      </c>
      <c r="M62" s="1">
        <v>2514</v>
      </c>
      <c r="N62" s="1">
        <v>2439</v>
      </c>
      <c r="O62" s="1">
        <v>2514</v>
      </c>
      <c r="P62" s="1">
        <v>215.4</v>
      </c>
      <c r="Q62" s="1">
        <f t="shared" si="11"/>
        <v>2729.4</v>
      </c>
      <c r="R62" s="1">
        <v>2428</v>
      </c>
      <c r="S62" s="9">
        <v>2551.44</v>
      </c>
      <c r="T62" s="1">
        <v>2898</v>
      </c>
      <c r="U62" s="38">
        <f t="shared" si="2"/>
        <v>7794.84</v>
      </c>
      <c r="V62" s="1">
        <f t="shared" si="2"/>
        <v>7765</v>
      </c>
      <c r="W62" s="37">
        <f t="shared" si="3"/>
        <v>29.840000000000146</v>
      </c>
      <c r="X62" s="51">
        <v>2400</v>
      </c>
      <c r="Y62" s="50">
        <v>2385</v>
      </c>
      <c r="Z62" s="9">
        <v>2504.52</v>
      </c>
      <c r="AA62" s="51">
        <v>266.4</v>
      </c>
      <c r="AB62" s="9">
        <f t="shared" si="12"/>
        <v>2770.92</v>
      </c>
      <c r="AC62" s="50">
        <v>2671</v>
      </c>
      <c r="AD62" s="9">
        <v>2504.52</v>
      </c>
      <c r="AE62" s="1">
        <v>2538</v>
      </c>
      <c r="AF62" s="38">
        <f t="shared" si="4"/>
        <v>7675.4400000000005</v>
      </c>
      <c r="AG62" s="1">
        <f t="shared" si="4"/>
        <v>7594</v>
      </c>
      <c r="AH62" s="7">
        <f t="shared" si="5"/>
        <v>81.44000000000051</v>
      </c>
      <c r="AI62" s="9">
        <v>2504.52</v>
      </c>
      <c r="AJ62" s="9">
        <v>130.8</v>
      </c>
      <c r="AK62" s="9"/>
      <c r="AL62" s="1">
        <f t="shared" si="6"/>
        <v>2635.32</v>
      </c>
      <c r="AM62" s="58">
        <v>2627</v>
      </c>
      <c r="AN62" s="39">
        <f t="shared" si="7"/>
        <v>8.320000000000164</v>
      </c>
      <c r="AO62" s="9">
        <v>2504.52</v>
      </c>
      <c r="AP62" s="8">
        <v>67.2</v>
      </c>
      <c r="AQ62" s="8">
        <v>307.68</v>
      </c>
      <c r="AR62" s="3">
        <f t="shared" si="8"/>
        <v>2879.3999999999996</v>
      </c>
      <c r="AS62" s="10"/>
      <c r="AT62" s="9">
        <f t="shared" si="9"/>
        <v>2879.3999999999996</v>
      </c>
      <c r="AU62" s="9">
        <v>2504.52</v>
      </c>
      <c r="AV62" s="9">
        <v>45</v>
      </c>
      <c r="AW62" s="41"/>
      <c r="AX62" s="3">
        <f t="shared" si="10"/>
        <v>2549.52</v>
      </c>
    </row>
    <row r="63" spans="1:50" ht="11.25">
      <c r="A63" s="18">
        <v>58</v>
      </c>
      <c r="B63" s="23" t="s">
        <v>56</v>
      </c>
      <c r="C63" s="23" t="s">
        <v>21</v>
      </c>
      <c r="D63" s="8">
        <v>2250</v>
      </c>
      <c r="E63" s="9">
        <v>2226</v>
      </c>
      <c r="F63" s="8">
        <v>2400</v>
      </c>
      <c r="G63" s="9">
        <v>1854</v>
      </c>
      <c r="H63" s="8">
        <v>2437.19</v>
      </c>
      <c r="I63" s="1">
        <v>2958</v>
      </c>
      <c r="J63" s="5">
        <f t="shared" si="0"/>
        <v>7087.1900000000005</v>
      </c>
      <c r="K63" s="6">
        <f t="shared" si="0"/>
        <v>7038</v>
      </c>
      <c r="L63" s="40">
        <f t="shared" si="1"/>
        <v>49.19000000000051</v>
      </c>
      <c r="M63" s="1">
        <v>2514</v>
      </c>
      <c r="N63" s="1">
        <v>2478</v>
      </c>
      <c r="O63" s="1">
        <v>2514</v>
      </c>
      <c r="P63" s="1"/>
      <c r="Q63" s="1">
        <f t="shared" si="11"/>
        <v>2514</v>
      </c>
      <c r="R63" s="1">
        <v>2380.2</v>
      </c>
      <c r="S63" s="47">
        <v>2551.44</v>
      </c>
      <c r="T63" s="1">
        <v>2718</v>
      </c>
      <c r="U63" s="38">
        <f t="shared" si="2"/>
        <v>7579.4400000000005</v>
      </c>
      <c r="V63" s="1">
        <f t="shared" si="2"/>
        <v>7576.2</v>
      </c>
      <c r="W63" s="37">
        <f t="shared" si="3"/>
        <v>3.240000000000691</v>
      </c>
      <c r="X63" s="51">
        <f>2400+82.8</f>
        <v>2482.8</v>
      </c>
      <c r="Y63" s="50">
        <v>2482.8</v>
      </c>
      <c r="Z63" s="9">
        <f>2504.52-82.8</f>
        <v>2421.72</v>
      </c>
      <c r="AA63" s="51">
        <v>266.4</v>
      </c>
      <c r="AB63" s="9">
        <f t="shared" si="12"/>
        <v>2688.12</v>
      </c>
      <c r="AC63" s="50">
        <v>2680.8</v>
      </c>
      <c r="AD63" s="9">
        <v>2504.52</v>
      </c>
      <c r="AE63" s="1">
        <v>2473</v>
      </c>
      <c r="AF63" s="38">
        <f t="shared" si="4"/>
        <v>7675.4400000000005</v>
      </c>
      <c r="AG63" s="1">
        <f t="shared" si="4"/>
        <v>7636.6</v>
      </c>
      <c r="AH63" s="37">
        <f t="shared" si="5"/>
        <v>38.840000000000146</v>
      </c>
      <c r="AI63" s="9">
        <v>2504.52</v>
      </c>
      <c r="AJ63" s="9">
        <v>130.8</v>
      </c>
      <c r="AK63" s="9">
        <v>491.4</v>
      </c>
      <c r="AL63" s="1">
        <f t="shared" si="6"/>
        <v>3126.7200000000003</v>
      </c>
      <c r="AM63" s="58">
        <v>3114</v>
      </c>
      <c r="AN63" s="39">
        <f t="shared" si="7"/>
        <v>12.720000000000255</v>
      </c>
      <c r="AO63" s="9">
        <v>2504.52</v>
      </c>
      <c r="AP63" s="8">
        <v>67.2</v>
      </c>
      <c r="AQ63" s="8">
        <v>307.68</v>
      </c>
      <c r="AR63" s="3">
        <f t="shared" si="8"/>
        <v>2879.3999999999996</v>
      </c>
      <c r="AS63" s="10"/>
      <c r="AT63" s="9">
        <f t="shared" si="9"/>
        <v>2879.3999999999996</v>
      </c>
      <c r="AU63" s="9">
        <v>2504.52</v>
      </c>
      <c r="AV63" s="9">
        <v>45</v>
      </c>
      <c r="AW63" s="41"/>
      <c r="AX63" s="3">
        <f t="shared" si="10"/>
        <v>2549.52</v>
      </c>
    </row>
    <row r="64" spans="1:50" ht="11.25">
      <c r="A64" s="16">
        <v>59</v>
      </c>
      <c r="B64" s="23" t="s">
        <v>57</v>
      </c>
      <c r="C64" s="23" t="s">
        <v>21</v>
      </c>
      <c r="D64" s="8">
        <v>2250</v>
      </c>
      <c r="E64" s="9">
        <v>2102.4</v>
      </c>
      <c r="F64" s="8">
        <v>2400</v>
      </c>
      <c r="G64" s="9">
        <v>2393.8</v>
      </c>
      <c r="H64" s="8">
        <v>2437.19</v>
      </c>
      <c r="I64" s="1">
        <v>2511</v>
      </c>
      <c r="J64" s="5">
        <f t="shared" si="0"/>
        <v>7087.1900000000005</v>
      </c>
      <c r="K64" s="6">
        <f t="shared" si="0"/>
        <v>7007.200000000001</v>
      </c>
      <c r="L64" s="40">
        <f t="shared" si="1"/>
        <v>79.98999999999978</v>
      </c>
      <c r="M64" s="1">
        <v>2514</v>
      </c>
      <c r="N64" s="1">
        <v>2381.8</v>
      </c>
      <c r="O64" s="1">
        <v>2514</v>
      </c>
      <c r="P64" s="1"/>
      <c r="Q64" s="1">
        <f>O64+P64+148.4</f>
        <v>2662.4</v>
      </c>
      <c r="R64" s="1">
        <v>2662.4</v>
      </c>
      <c r="S64" s="9">
        <f>2551.44-148.4</f>
        <v>2403.04</v>
      </c>
      <c r="T64" s="1">
        <v>2527.8</v>
      </c>
      <c r="U64" s="38">
        <f t="shared" si="2"/>
        <v>7579.44</v>
      </c>
      <c r="V64" s="1">
        <f t="shared" si="2"/>
        <v>7572.000000000001</v>
      </c>
      <c r="W64" s="37">
        <f t="shared" si="3"/>
        <v>7.43999999999869</v>
      </c>
      <c r="X64" s="51">
        <v>2400</v>
      </c>
      <c r="Y64" s="50">
        <v>2349</v>
      </c>
      <c r="Z64" s="9">
        <v>2504.52</v>
      </c>
      <c r="AA64" s="51">
        <v>266.4</v>
      </c>
      <c r="AB64" s="9">
        <f t="shared" si="12"/>
        <v>2770.92</v>
      </c>
      <c r="AC64" s="50">
        <v>2756</v>
      </c>
      <c r="AD64" s="9">
        <v>2504.52</v>
      </c>
      <c r="AE64" s="1">
        <v>2494.2</v>
      </c>
      <c r="AF64" s="38">
        <f t="shared" si="4"/>
        <v>7675.4400000000005</v>
      </c>
      <c r="AG64" s="1">
        <f t="shared" si="4"/>
        <v>7599.2</v>
      </c>
      <c r="AH64" s="7">
        <f t="shared" si="5"/>
        <v>76.24000000000069</v>
      </c>
      <c r="AI64" s="9">
        <v>2504.52</v>
      </c>
      <c r="AJ64" s="9">
        <v>130.8</v>
      </c>
      <c r="AK64" s="9"/>
      <c r="AL64" s="1">
        <f t="shared" si="6"/>
        <v>2635.32</v>
      </c>
      <c r="AM64" s="58">
        <v>2601.2</v>
      </c>
      <c r="AN64" s="39">
        <f t="shared" si="7"/>
        <v>34.120000000000346</v>
      </c>
      <c r="AO64" s="9">
        <v>2504.52</v>
      </c>
      <c r="AP64" s="8">
        <v>67.2</v>
      </c>
      <c r="AQ64" s="8">
        <v>307.68</v>
      </c>
      <c r="AR64" s="3">
        <f t="shared" si="8"/>
        <v>2879.3999999999996</v>
      </c>
      <c r="AS64" s="10">
        <v>0</v>
      </c>
      <c r="AT64" s="9">
        <f t="shared" si="9"/>
        <v>2879.3999999999996</v>
      </c>
      <c r="AU64" s="9">
        <v>2504.52</v>
      </c>
      <c r="AV64" s="9">
        <v>45</v>
      </c>
      <c r="AW64" s="41"/>
      <c r="AX64" s="3">
        <f t="shared" si="10"/>
        <v>2549.52</v>
      </c>
    </row>
    <row r="65" spans="1:50" ht="11.25">
      <c r="A65" s="18">
        <v>60</v>
      </c>
      <c r="B65" s="24" t="s">
        <v>58</v>
      </c>
      <c r="C65" s="24" t="s">
        <v>21</v>
      </c>
      <c r="D65" s="8">
        <v>1500</v>
      </c>
      <c r="E65" s="9">
        <v>1445</v>
      </c>
      <c r="F65" s="8">
        <v>1600</v>
      </c>
      <c r="G65" s="9">
        <v>1153</v>
      </c>
      <c r="H65" s="8">
        <v>1624.79</v>
      </c>
      <c r="I65" s="1">
        <v>888</v>
      </c>
      <c r="J65" s="5">
        <f t="shared" si="0"/>
        <v>4724.79</v>
      </c>
      <c r="K65" s="6">
        <f t="shared" si="0"/>
        <v>3486</v>
      </c>
      <c r="L65" s="40">
        <f t="shared" si="1"/>
        <v>1238.79</v>
      </c>
      <c r="M65" s="1">
        <v>1676</v>
      </c>
      <c r="N65" s="1">
        <v>1363</v>
      </c>
      <c r="O65" s="1">
        <v>1676</v>
      </c>
      <c r="P65" s="1"/>
      <c r="Q65" s="1">
        <f t="shared" si="11"/>
        <v>1676</v>
      </c>
      <c r="R65" s="1">
        <v>1368</v>
      </c>
      <c r="S65" s="47">
        <v>1700.96</v>
      </c>
      <c r="T65" s="1">
        <v>2245</v>
      </c>
      <c r="U65" s="38">
        <f t="shared" si="2"/>
        <v>5052.96</v>
      </c>
      <c r="V65" s="1">
        <f t="shared" si="2"/>
        <v>4976</v>
      </c>
      <c r="W65" s="7">
        <f t="shared" si="3"/>
        <v>76.96000000000004</v>
      </c>
      <c r="X65" s="51">
        <v>1600</v>
      </c>
      <c r="Y65" s="50">
        <v>1467</v>
      </c>
      <c r="Z65" s="9">
        <v>1669.68</v>
      </c>
      <c r="AA65" s="51"/>
      <c r="AB65" s="9">
        <f t="shared" si="12"/>
        <v>1669.68</v>
      </c>
      <c r="AC65" s="50">
        <v>1564</v>
      </c>
      <c r="AD65" s="9">
        <v>1669.68</v>
      </c>
      <c r="AE65" s="1">
        <v>1695</v>
      </c>
      <c r="AF65" s="38">
        <f t="shared" si="4"/>
        <v>4939.360000000001</v>
      </c>
      <c r="AG65" s="1">
        <f t="shared" si="4"/>
        <v>4726</v>
      </c>
      <c r="AH65" s="7">
        <f t="shared" si="5"/>
        <v>213.36000000000058</v>
      </c>
      <c r="AI65" s="9">
        <v>1669.68</v>
      </c>
      <c r="AJ65" s="9">
        <v>87.2</v>
      </c>
      <c r="AK65" s="9"/>
      <c r="AL65" s="1">
        <f t="shared" si="6"/>
        <v>1756.88</v>
      </c>
      <c r="AM65" s="58">
        <v>1114</v>
      </c>
      <c r="AN65" s="9">
        <f t="shared" si="7"/>
        <v>642.8800000000001</v>
      </c>
      <c r="AO65" s="9">
        <v>1669.68</v>
      </c>
      <c r="AP65" s="8">
        <v>44.8</v>
      </c>
      <c r="AQ65" s="8"/>
      <c r="AR65" s="3">
        <f t="shared" si="8"/>
        <v>1714.48</v>
      </c>
      <c r="AS65" s="10"/>
      <c r="AT65" s="9">
        <f t="shared" si="9"/>
        <v>1714.48</v>
      </c>
      <c r="AU65" s="9">
        <v>1669.68</v>
      </c>
      <c r="AV65" s="9">
        <v>30</v>
      </c>
      <c r="AW65" s="41"/>
      <c r="AX65" s="3">
        <f t="shared" si="10"/>
        <v>1699.68</v>
      </c>
    </row>
    <row r="66" spans="1:50" ht="11.25">
      <c r="A66" s="16">
        <v>61</v>
      </c>
      <c r="B66" s="23" t="s">
        <v>91</v>
      </c>
      <c r="C66" s="23" t="s">
        <v>21</v>
      </c>
      <c r="D66" s="8">
        <f>2250+1</f>
        <v>2251</v>
      </c>
      <c r="E66" s="9">
        <v>2251</v>
      </c>
      <c r="F66" s="8">
        <f>2400-1</f>
        <v>2399</v>
      </c>
      <c r="G66" s="9">
        <v>2394</v>
      </c>
      <c r="H66" s="8">
        <v>2437.19</v>
      </c>
      <c r="I66" s="1">
        <v>2406</v>
      </c>
      <c r="J66" s="5">
        <f t="shared" si="0"/>
        <v>7087.1900000000005</v>
      </c>
      <c r="K66" s="6">
        <f t="shared" si="0"/>
        <v>7051</v>
      </c>
      <c r="L66" s="37">
        <f t="shared" si="1"/>
        <v>36.19000000000051</v>
      </c>
      <c r="M66" s="1">
        <f>2514+13</f>
        <v>2527</v>
      </c>
      <c r="N66" s="1">
        <v>2527</v>
      </c>
      <c r="O66" s="1">
        <v>2514</v>
      </c>
      <c r="P66" s="1">
        <v>215.4</v>
      </c>
      <c r="Q66" s="1">
        <f>O66+P66-13+13.6</f>
        <v>2730</v>
      </c>
      <c r="R66" s="1">
        <v>2730</v>
      </c>
      <c r="S66" s="9">
        <f>2551.44-13.6</f>
        <v>2537.84</v>
      </c>
      <c r="T66" s="1">
        <v>2525</v>
      </c>
      <c r="U66" s="38">
        <f t="shared" si="2"/>
        <v>7794.84</v>
      </c>
      <c r="V66" s="1">
        <f t="shared" si="2"/>
        <v>7782</v>
      </c>
      <c r="W66" s="37">
        <f t="shared" si="3"/>
        <v>12.840000000000146</v>
      </c>
      <c r="X66" s="51">
        <v>2400</v>
      </c>
      <c r="Y66" s="50">
        <v>2398</v>
      </c>
      <c r="Z66" s="9">
        <v>2504.52</v>
      </c>
      <c r="AA66" s="51">
        <v>266.4</v>
      </c>
      <c r="AB66" s="9">
        <f t="shared" si="12"/>
        <v>2770.92</v>
      </c>
      <c r="AC66" s="50">
        <v>2770</v>
      </c>
      <c r="AD66" s="9">
        <v>2504.52</v>
      </c>
      <c r="AE66" s="1">
        <v>2501</v>
      </c>
      <c r="AF66" s="38">
        <f t="shared" si="4"/>
        <v>7675.4400000000005</v>
      </c>
      <c r="AG66" s="1">
        <f t="shared" si="4"/>
        <v>7669</v>
      </c>
      <c r="AH66" s="37">
        <f t="shared" si="5"/>
        <v>6.440000000000509</v>
      </c>
      <c r="AI66" s="9">
        <v>2504.52</v>
      </c>
      <c r="AJ66" s="9">
        <v>130.8</v>
      </c>
      <c r="AK66" s="9">
        <v>491.4</v>
      </c>
      <c r="AL66" s="1">
        <f t="shared" si="6"/>
        <v>3126.7200000000003</v>
      </c>
      <c r="AM66" s="58">
        <v>3100</v>
      </c>
      <c r="AN66" s="39">
        <f t="shared" si="7"/>
        <v>26.720000000000255</v>
      </c>
      <c r="AO66" s="9">
        <v>2504.52</v>
      </c>
      <c r="AP66" s="8">
        <v>67.2</v>
      </c>
      <c r="AQ66" s="8">
        <v>307.68</v>
      </c>
      <c r="AR66" s="3">
        <f t="shared" si="8"/>
        <v>2879.3999999999996</v>
      </c>
      <c r="AS66" s="10"/>
      <c r="AT66" s="9">
        <f t="shared" si="9"/>
        <v>2879.3999999999996</v>
      </c>
      <c r="AU66" s="9">
        <v>2504.52</v>
      </c>
      <c r="AV66" s="9">
        <v>45</v>
      </c>
      <c r="AW66" s="41"/>
      <c r="AX66" s="3">
        <f t="shared" si="10"/>
        <v>2549.52</v>
      </c>
    </row>
    <row r="67" spans="1:50" ht="11.25">
      <c r="A67" s="18">
        <v>62</v>
      </c>
      <c r="B67" s="24" t="s">
        <v>111</v>
      </c>
      <c r="C67" s="17" t="s">
        <v>20</v>
      </c>
      <c r="D67" s="8">
        <v>1875</v>
      </c>
      <c r="E67" s="9">
        <v>1866</v>
      </c>
      <c r="F67" s="8">
        <f>2000+69</f>
        <v>2069</v>
      </c>
      <c r="G67" s="9">
        <v>2069</v>
      </c>
      <c r="H67" s="8">
        <f>2030.98-69</f>
        <v>1961.98</v>
      </c>
      <c r="I67" s="1">
        <v>1952</v>
      </c>
      <c r="J67" s="5">
        <f t="shared" si="0"/>
        <v>5905.98</v>
      </c>
      <c r="K67" s="6">
        <f t="shared" si="0"/>
        <v>5887</v>
      </c>
      <c r="L67" s="37">
        <f t="shared" si="1"/>
        <v>18.979999999999563</v>
      </c>
      <c r="M67" s="1">
        <v>2095</v>
      </c>
      <c r="N67" s="1">
        <v>1910</v>
      </c>
      <c r="O67" s="1">
        <v>0</v>
      </c>
      <c r="P67" s="1">
        <v>0</v>
      </c>
      <c r="Q67" s="1">
        <f t="shared" si="11"/>
        <v>0</v>
      </c>
      <c r="R67" s="1">
        <v>0</v>
      </c>
      <c r="S67" s="47">
        <v>0</v>
      </c>
      <c r="T67" s="1">
        <v>0</v>
      </c>
      <c r="U67" s="38">
        <f t="shared" si="2"/>
        <v>2095</v>
      </c>
      <c r="V67" s="1">
        <f t="shared" si="2"/>
        <v>1910</v>
      </c>
      <c r="W67" s="7">
        <f t="shared" si="3"/>
        <v>185</v>
      </c>
      <c r="X67" s="51">
        <v>0</v>
      </c>
      <c r="Y67" s="50"/>
      <c r="Z67" s="9"/>
      <c r="AA67" s="51"/>
      <c r="AB67" s="9">
        <f t="shared" si="12"/>
        <v>0</v>
      </c>
      <c r="AC67" s="50"/>
      <c r="AD67" s="9"/>
      <c r="AE67" s="1"/>
      <c r="AF67" s="38">
        <f t="shared" si="4"/>
        <v>0</v>
      </c>
      <c r="AG67" s="1">
        <f t="shared" si="4"/>
        <v>0</v>
      </c>
      <c r="AH67" s="7"/>
      <c r="AI67" s="9"/>
      <c r="AJ67" s="9"/>
      <c r="AK67" s="9"/>
      <c r="AL67" s="1">
        <f t="shared" si="6"/>
        <v>0</v>
      </c>
      <c r="AM67" s="58"/>
      <c r="AN67" s="9"/>
      <c r="AO67" s="9"/>
      <c r="AP67" s="8"/>
      <c r="AQ67" s="8"/>
      <c r="AR67" s="3">
        <f t="shared" si="8"/>
        <v>0</v>
      </c>
      <c r="AS67" s="10"/>
      <c r="AT67" s="9">
        <f t="shared" si="9"/>
        <v>0</v>
      </c>
      <c r="AU67" s="9"/>
      <c r="AV67" s="9"/>
      <c r="AW67" s="41"/>
      <c r="AX67" s="3">
        <f t="shared" si="10"/>
        <v>0</v>
      </c>
    </row>
    <row r="68" spans="1:50" ht="11.25">
      <c r="A68" s="16">
        <v>63</v>
      </c>
      <c r="B68" s="24" t="s">
        <v>107</v>
      </c>
      <c r="C68" s="24" t="s">
        <v>22</v>
      </c>
      <c r="D68" s="8">
        <v>2250</v>
      </c>
      <c r="E68" s="9">
        <v>2160</v>
      </c>
      <c r="F68" s="8">
        <v>2400</v>
      </c>
      <c r="G68" s="9">
        <v>2376</v>
      </c>
      <c r="H68" s="8">
        <v>2437.18</v>
      </c>
      <c r="I68" s="1">
        <v>2522.6</v>
      </c>
      <c r="J68" s="5">
        <f t="shared" si="0"/>
        <v>7087.18</v>
      </c>
      <c r="K68" s="6">
        <f t="shared" si="0"/>
        <v>7058.6</v>
      </c>
      <c r="L68" s="37">
        <f t="shared" si="1"/>
        <v>28.579999999999927</v>
      </c>
      <c r="M68" s="1">
        <f>2514+145</f>
        <v>2659</v>
      </c>
      <c r="N68" s="1">
        <v>2659</v>
      </c>
      <c r="O68" s="1">
        <v>2514</v>
      </c>
      <c r="P68" s="1">
        <v>215.4</v>
      </c>
      <c r="Q68" s="1">
        <f>O68+P68-145</f>
        <v>2584.4</v>
      </c>
      <c r="R68" s="1">
        <v>2584</v>
      </c>
      <c r="S68" s="9">
        <v>2551.44</v>
      </c>
      <c r="T68" s="1">
        <v>2243.4</v>
      </c>
      <c r="U68" s="38">
        <f t="shared" si="2"/>
        <v>7794.84</v>
      </c>
      <c r="V68" s="1">
        <f t="shared" si="2"/>
        <v>7486.4</v>
      </c>
      <c r="W68" s="7">
        <f t="shared" si="3"/>
        <v>308.4400000000005</v>
      </c>
      <c r="X68" s="51">
        <v>2400</v>
      </c>
      <c r="Y68" s="50">
        <v>2353.8</v>
      </c>
      <c r="Z68" s="9">
        <v>2504.52</v>
      </c>
      <c r="AA68" s="51"/>
      <c r="AB68" s="9">
        <f t="shared" si="12"/>
        <v>2504.52</v>
      </c>
      <c r="AC68" s="50">
        <v>2329</v>
      </c>
      <c r="AD68" s="9">
        <v>2504.52</v>
      </c>
      <c r="AE68" s="1">
        <v>2445.8</v>
      </c>
      <c r="AF68" s="38">
        <f t="shared" si="4"/>
        <v>7409.040000000001</v>
      </c>
      <c r="AG68" s="1">
        <f t="shared" si="4"/>
        <v>7128.6</v>
      </c>
      <c r="AH68" s="7">
        <f t="shared" si="5"/>
        <v>280.4400000000005</v>
      </c>
      <c r="AI68" s="9">
        <v>2504.52</v>
      </c>
      <c r="AJ68" s="9">
        <v>130.8</v>
      </c>
      <c r="AK68" s="9"/>
      <c r="AL68" s="1">
        <f t="shared" si="6"/>
        <v>2635.32</v>
      </c>
      <c r="AM68" s="58">
        <v>2594</v>
      </c>
      <c r="AN68" s="9">
        <f t="shared" si="7"/>
        <v>41.320000000000164</v>
      </c>
      <c r="AO68" s="9">
        <v>2504.52</v>
      </c>
      <c r="AP68" s="8">
        <v>67.2</v>
      </c>
      <c r="AQ68" s="8"/>
      <c r="AR68" s="3">
        <f t="shared" si="8"/>
        <v>2571.72</v>
      </c>
      <c r="AS68" s="10"/>
      <c r="AT68" s="9">
        <f t="shared" si="9"/>
        <v>2571.72</v>
      </c>
      <c r="AU68" s="9">
        <v>2504.52</v>
      </c>
      <c r="AV68" s="9">
        <v>45</v>
      </c>
      <c r="AW68" s="41"/>
      <c r="AX68" s="3">
        <f t="shared" si="10"/>
        <v>2549.52</v>
      </c>
    </row>
    <row r="69" spans="1:50" ht="11.25">
      <c r="A69" s="18">
        <v>64</v>
      </c>
      <c r="B69" s="24" t="s">
        <v>138</v>
      </c>
      <c r="C69" s="24" t="s">
        <v>21</v>
      </c>
      <c r="D69" s="8"/>
      <c r="E69" s="9"/>
      <c r="F69" s="8"/>
      <c r="G69" s="9"/>
      <c r="H69" s="8"/>
      <c r="I69" s="1"/>
      <c r="J69" s="5"/>
      <c r="K69" s="6"/>
      <c r="L69" s="37"/>
      <c r="M69" s="1"/>
      <c r="N69" s="1"/>
      <c r="O69" s="1">
        <v>1676</v>
      </c>
      <c r="P69" s="1"/>
      <c r="Q69" s="1">
        <v>1676</v>
      </c>
      <c r="R69" s="1">
        <v>1671</v>
      </c>
      <c r="S69" s="9">
        <v>1700.96</v>
      </c>
      <c r="T69" s="1">
        <v>1680</v>
      </c>
      <c r="U69" s="38">
        <f t="shared" si="2"/>
        <v>3376.96</v>
      </c>
      <c r="V69" s="1">
        <f t="shared" si="2"/>
        <v>3351</v>
      </c>
      <c r="W69" s="37">
        <f t="shared" si="3"/>
        <v>25.960000000000036</v>
      </c>
      <c r="X69" s="51">
        <v>1600</v>
      </c>
      <c r="Y69" s="50">
        <v>1583.8</v>
      </c>
      <c r="Z69" s="9">
        <v>1669.68</v>
      </c>
      <c r="AA69" s="51">
        <v>177.6</v>
      </c>
      <c r="AB69" s="9">
        <f t="shared" si="12"/>
        <v>1847.28</v>
      </c>
      <c r="AC69" s="50">
        <v>1846.2</v>
      </c>
      <c r="AD69" s="9">
        <v>1669.68</v>
      </c>
      <c r="AE69" s="1">
        <v>1658</v>
      </c>
      <c r="AF69" s="38">
        <f t="shared" si="4"/>
        <v>5116.96</v>
      </c>
      <c r="AG69" s="1">
        <f t="shared" si="4"/>
        <v>5088</v>
      </c>
      <c r="AH69" s="37">
        <f t="shared" si="5"/>
        <v>28.960000000000036</v>
      </c>
      <c r="AI69" s="9">
        <v>1669.68</v>
      </c>
      <c r="AJ69" s="9">
        <v>87.2</v>
      </c>
      <c r="AK69" s="9">
        <v>327.6</v>
      </c>
      <c r="AL69" s="1">
        <f t="shared" si="6"/>
        <v>2084.48</v>
      </c>
      <c r="AM69" s="58">
        <v>2055</v>
      </c>
      <c r="AN69" s="39">
        <f t="shared" si="7"/>
        <v>29.480000000000018</v>
      </c>
      <c r="AO69" s="9">
        <v>1669.68</v>
      </c>
      <c r="AP69" s="8">
        <v>44.8</v>
      </c>
      <c r="AQ69" s="8">
        <v>205.12</v>
      </c>
      <c r="AR69" s="3">
        <f t="shared" si="8"/>
        <v>1919.6</v>
      </c>
      <c r="AS69" s="10"/>
      <c r="AT69" s="9">
        <f t="shared" si="9"/>
        <v>1919.6</v>
      </c>
      <c r="AU69" s="9">
        <v>1669.68</v>
      </c>
      <c r="AV69" s="9">
        <v>30</v>
      </c>
      <c r="AW69" s="41"/>
      <c r="AX69" s="3">
        <f t="shared" si="10"/>
        <v>1699.68</v>
      </c>
    </row>
    <row r="70" spans="1:50" ht="11.25">
      <c r="A70" s="16">
        <v>65</v>
      </c>
      <c r="B70" s="24" t="s">
        <v>59</v>
      </c>
      <c r="C70" s="24" t="s">
        <v>23</v>
      </c>
      <c r="D70" s="8">
        <f>2250+3</f>
        <v>2253</v>
      </c>
      <c r="E70" s="9">
        <v>2253</v>
      </c>
      <c r="F70" s="8">
        <f>2400-3+24</f>
        <v>2421</v>
      </c>
      <c r="G70" s="9">
        <v>2421</v>
      </c>
      <c r="H70" s="8">
        <f>2437.18-24</f>
        <v>2413.18</v>
      </c>
      <c r="I70" s="1">
        <v>2271</v>
      </c>
      <c r="J70" s="5">
        <f t="shared" si="0"/>
        <v>7087.18</v>
      </c>
      <c r="K70" s="6">
        <f>E70+G70+I70</f>
        <v>6945</v>
      </c>
      <c r="L70" s="40">
        <f t="shared" si="1"/>
        <v>142.1800000000003</v>
      </c>
      <c r="M70" s="1">
        <f>2514+9</f>
        <v>2523</v>
      </c>
      <c r="N70" s="1">
        <v>2523</v>
      </c>
      <c r="O70" s="1">
        <v>2514</v>
      </c>
      <c r="P70" s="1"/>
      <c r="Q70" s="1">
        <f>O70+P70-9</f>
        <v>2505</v>
      </c>
      <c r="R70" s="1">
        <v>2447</v>
      </c>
      <c r="S70" s="47">
        <v>2551.44</v>
      </c>
      <c r="T70" s="1">
        <v>2609</v>
      </c>
      <c r="U70" s="38">
        <f t="shared" si="2"/>
        <v>7579.4400000000005</v>
      </c>
      <c r="V70" s="1">
        <f t="shared" si="2"/>
        <v>7579</v>
      </c>
      <c r="W70" s="37">
        <f t="shared" si="3"/>
        <v>0.4400000000005093</v>
      </c>
      <c r="X70" s="51">
        <v>2400</v>
      </c>
      <c r="Y70" s="50">
        <v>2332</v>
      </c>
      <c r="Z70" s="9">
        <v>2504.52</v>
      </c>
      <c r="AA70" s="51">
        <v>266.4</v>
      </c>
      <c r="AB70" s="9">
        <f t="shared" si="12"/>
        <v>2770.92</v>
      </c>
      <c r="AC70" s="50">
        <v>2699</v>
      </c>
      <c r="AD70" s="9">
        <v>2504.52</v>
      </c>
      <c r="AE70" s="1">
        <v>2574</v>
      </c>
      <c r="AF70" s="38">
        <f t="shared" si="4"/>
        <v>7675.4400000000005</v>
      </c>
      <c r="AG70" s="1">
        <f t="shared" si="4"/>
        <v>7605</v>
      </c>
      <c r="AH70" s="7">
        <f t="shared" si="5"/>
        <v>70.44000000000051</v>
      </c>
      <c r="AI70" s="9">
        <v>2504.52</v>
      </c>
      <c r="AJ70" s="9">
        <v>130.8</v>
      </c>
      <c r="AK70" s="9"/>
      <c r="AL70" s="1">
        <f t="shared" si="6"/>
        <v>2635.32</v>
      </c>
      <c r="AM70" s="58">
        <v>2635</v>
      </c>
      <c r="AN70" s="39">
        <f t="shared" si="7"/>
        <v>0.3200000000001637</v>
      </c>
      <c r="AO70" s="9">
        <v>2504.52</v>
      </c>
      <c r="AP70" s="8">
        <v>67.2</v>
      </c>
      <c r="AQ70" s="8">
        <v>307.68</v>
      </c>
      <c r="AR70" s="3">
        <f t="shared" si="8"/>
        <v>2879.3999999999996</v>
      </c>
      <c r="AS70" s="10"/>
      <c r="AT70" s="9">
        <f t="shared" si="9"/>
        <v>2879.3999999999996</v>
      </c>
      <c r="AU70" s="9">
        <v>2504.52</v>
      </c>
      <c r="AV70" s="9">
        <v>45</v>
      </c>
      <c r="AW70" s="41"/>
      <c r="AX70" s="3">
        <f t="shared" si="10"/>
        <v>2549.52</v>
      </c>
    </row>
    <row r="71" spans="1:50" ht="11.25">
      <c r="A71" s="18">
        <v>66</v>
      </c>
      <c r="B71" s="23" t="s">
        <v>132</v>
      </c>
      <c r="C71" s="23" t="s">
        <v>21</v>
      </c>
      <c r="D71" s="8">
        <v>2250</v>
      </c>
      <c r="E71" s="9">
        <v>2138</v>
      </c>
      <c r="F71" s="8">
        <v>2400</v>
      </c>
      <c r="G71" s="9">
        <v>2360</v>
      </c>
      <c r="H71" s="8">
        <v>2437.19</v>
      </c>
      <c r="I71" s="1">
        <v>2589</v>
      </c>
      <c r="J71" s="5">
        <f t="shared" si="0"/>
        <v>7087.1900000000005</v>
      </c>
      <c r="K71" s="6">
        <f>E71+G71+I71</f>
        <v>7087</v>
      </c>
      <c r="L71" s="37">
        <f t="shared" si="1"/>
        <v>0.19000000000050932</v>
      </c>
      <c r="M71" s="1">
        <v>2514</v>
      </c>
      <c r="N71" s="1">
        <v>2459</v>
      </c>
      <c r="O71" s="1">
        <v>2514</v>
      </c>
      <c r="P71" s="1">
        <v>215.4</v>
      </c>
      <c r="Q71" s="1">
        <f t="shared" si="11"/>
        <v>2729.4</v>
      </c>
      <c r="R71" s="1">
        <v>2372</v>
      </c>
      <c r="S71" s="9">
        <v>2551.44</v>
      </c>
      <c r="T71" s="1">
        <v>2959</v>
      </c>
      <c r="U71" s="38">
        <f t="shared" si="2"/>
        <v>7794.84</v>
      </c>
      <c r="V71" s="1">
        <f t="shared" si="2"/>
        <v>7790</v>
      </c>
      <c r="W71" s="37">
        <f t="shared" si="3"/>
        <v>4.8400000000001455</v>
      </c>
      <c r="X71" s="51">
        <v>2400</v>
      </c>
      <c r="Y71" s="50">
        <v>2289</v>
      </c>
      <c r="Z71" s="9">
        <v>2504.52</v>
      </c>
      <c r="AA71" s="51">
        <v>266.4</v>
      </c>
      <c r="AB71" s="9">
        <f t="shared" si="12"/>
        <v>2770.92</v>
      </c>
      <c r="AC71" s="50">
        <v>2619</v>
      </c>
      <c r="AD71" s="9">
        <v>2504.52</v>
      </c>
      <c r="AE71" s="1">
        <v>2725</v>
      </c>
      <c r="AF71" s="38">
        <f aca="true" t="shared" si="13" ref="AF71:AG104">X71+AB71+AD71</f>
        <v>7675.4400000000005</v>
      </c>
      <c r="AG71" s="1">
        <f t="shared" si="13"/>
        <v>7633</v>
      </c>
      <c r="AH71" s="7">
        <f aca="true" t="shared" si="14" ref="AH71:AH104">AF71-AG71</f>
        <v>42.44000000000051</v>
      </c>
      <c r="AI71" s="9">
        <v>2504.52</v>
      </c>
      <c r="AJ71" s="9">
        <v>130.8</v>
      </c>
      <c r="AK71" s="9"/>
      <c r="AL71" s="1">
        <f aca="true" t="shared" si="15" ref="AL71:AL104">AI71+AJ71+AK71</f>
        <v>2635.32</v>
      </c>
      <c r="AM71" s="58">
        <v>2163</v>
      </c>
      <c r="AN71" s="9">
        <f aca="true" t="shared" si="16" ref="AN71:AN104">AL71-AM71</f>
        <v>472.32000000000016</v>
      </c>
      <c r="AO71" s="9">
        <v>2504.52</v>
      </c>
      <c r="AP71" s="8">
        <v>67.2</v>
      </c>
      <c r="AQ71" s="8"/>
      <c r="AR71" s="3">
        <f aca="true" t="shared" si="17" ref="AR71:AR104">AO71+AP71+AQ71</f>
        <v>2571.72</v>
      </c>
      <c r="AS71" s="10"/>
      <c r="AT71" s="9">
        <f aca="true" t="shared" si="18" ref="AT71:AT104">AR71-AS71</f>
        <v>2571.72</v>
      </c>
      <c r="AU71" s="9">
        <v>2504.52</v>
      </c>
      <c r="AV71" s="9">
        <v>45</v>
      </c>
      <c r="AW71" s="41"/>
      <c r="AX71" s="3">
        <f aca="true" t="shared" si="19" ref="AX71:AX104">AU71+AV71+AW71</f>
        <v>2549.52</v>
      </c>
    </row>
    <row r="72" spans="1:50" ht="11.25">
      <c r="A72" s="16">
        <v>67</v>
      </c>
      <c r="B72" s="23" t="s">
        <v>60</v>
      </c>
      <c r="C72" s="23" t="s">
        <v>21</v>
      </c>
      <c r="D72" s="8">
        <v>2250</v>
      </c>
      <c r="E72" s="9">
        <v>2239</v>
      </c>
      <c r="F72" s="8">
        <v>2400</v>
      </c>
      <c r="G72" s="9">
        <v>2358</v>
      </c>
      <c r="H72" s="8">
        <v>2437.19</v>
      </c>
      <c r="I72" s="1">
        <v>2477</v>
      </c>
      <c r="J72" s="5">
        <f t="shared" si="0"/>
        <v>7087.1900000000005</v>
      </c>
      <c r="K72" s="6">
        <f>E72+G72+I72</f>
        <v>7074</v>
      </c>
      <c r="L72" s="37">
        <f t="shared" si="1"/>
        <v>13.19000000000051</v>
      </c>
      <c r="M72" s="1">
        <v>2514</v>
      </c>
      <c r="N72" s="1">
        <v>1936</v>
      </c>
      <c r="O72" s="1">
        <v>2514</v>
      </c>
      <c r="P72" s="1">
        <v>215.4</v>
      </c>
      <c r="Q72" s="1">
        <f t="shared" si="11"/>
        <v>2729.4</v>
      </c>
      <c r="R72" s="1">
        <v>2234</v>
      </c>
      <c r="S72" s="47">
        <v>2551.44</v>
      </c>
      <c r="T72" s="1">
        <v>3591</v>
      </c>
      <c r="U72" s="38">
        <f t="shared" si="2"/>
        <v>7794.84</v>
      </c>
      <c r="V72" s="1">
        <f t="shared" si="2"/>
        <v>7761</v>
      </c>
      <c r="W72" s="37">
        <f t="shared" si="3"/>
        <v>33.840000000000146</v>
      </c>
      <c r="X72" s="51">
        <v>2400</v>
      </c>
      <c r="Y72" s="50">
        <v>2358</v>
      </c>
      <c r="Z72" s="9">
        <v>2504.52</v>
      </c>
      <c r="AA72" s="51">
        <v>266.4</v>
      </c>
      <c r="AB72" s="9">
        <f t="shared" si="12"/>
        <v>2770.92</v>
      </c>
      <c r="AC72" s="50">
        <v>2463</v>
      </c>
      <c r="AD72" s="9">
        <v>2504.52</v>
      </c>
      <c r="AE72" s="1">
        <v>2672</v>
      </c>
      <c r="AF72" s="38">
        <f t="shared" si="13"/>
        <v>7675.4400000000005</v>
      </c>
      <c r="AG72" s="1">
        <f t="shared" si="13"/>
        <v>7493</v>
      </c>
      <c r="AH72" s="7">
        <f t="shared" si="14"/>
        <v>182.4400000000005</v>
      </c>
      <c r="AI72" s="9">
        <v>2504.52</v>
      </c>
      <c r="AJ72" s="9">
        <v>130.8</v>
      </c>
      <c r="AK72" s="9"/>
      <c r="AL72" s="1">
        <f t="shared" si="15"/>
        <v>2635.32</v>
      </c>
      <c r="AM72" s="58">
        <v>2585</v>
      </c>
      <c r="AN72" s="9">
        <f t="shared" si="16"/>
        <v>50.320000000000164</v>
      </c>
      <c r="AO72" s="9">
        <v>2504.52</v>
      </c>
      <c r="AP72" s="8">
        <v>67.2</v>
      </c>
      <c r="AQ72" s="8"/>
      <c r="AR72" s="3">
        <f t="shared" si="17"/>
        <v>2571.72</v>
      </c>
      <c r="AS72" s="10"/>
      <c r="AT72" s="9">
        <f t="shared" si="18"/>
        <v>2571.72</v>
      </c>
      <c r="AU72" s="9">
        <v>2504.52</v>
      </c>
      <c r="AV72" s="9">
        <v>45</v>
      </c>
      <c r="AW72" s="41"/>
      <c r="AX72" s="3">
        <f t="shared" si="19"/>
        <v>2549.52</v>
      </c>
    </row>
    <row r="73" spans="1:50" ht="11.25">
      <c r="A73" s="18">
        <v>68</v>
      </c>
      <c r="B73" s="24" t="s">
        <v>101</v>
      </c>
      <c r="C73" s="24" t="s">
        <v>21</v>
      </c>
      <c r="D73" s="8">
        <v>1500</v>
      </c>
      <c r="E73" s="9">
        <v>1494</v>
      </c>
      <c r="F73" s="8">
        <v>1600</v>
      </c>
      <c r="G73" s="9">
        <v>1589</v>
      </c>
      <c r="H73" s="8">
        <v>1624.79</v>
      </c>
      <c r="I73" s="1">
        <v>1593</v>
      </c>
      <c r="J73" s="5">
        <f aca="true" t="shared" si="20" ref="J73:K104">D73+F73+H73</f>
        <v>4724.79</v>
      </c>
      <c r="K73" s="6">
        <f>E73+G73+I73</f>
        <v>4676</v>
      </c>
      <c r="L73" s="40">
        <f t="shared" si="1"/>
        <v>48.789999999999964</v>
      </c>
      <c r="M73" s="1"/>
      <c r="N73" s="1"/>
      <c r="O73" s="1"/>
      <c r="P73" s="1"/>
      <c r="Q73" s="1">
        <f t="shared" si="11"/>
        <v>0</v>
      </c>
      <c r="R73" s="1">
        <v>0</v>
      </c>
      <c r="S73" s="9"/>
      <c r="T73" s="1">
        <v>0</v>
      </c>
      <c r="U73" s="38">
        <f t="shared" si="2"/>
        <v>0</v>
      </c>
      <c r="V73" s="1">
        <f t="shared" si="2"/>
        <v>0</v>
      </c>
      <c r="W73" s="7"/>
      <c r="X73" s="51">
        <v>0</v>
      </c>
      <c r="Y73" s="50"/>
      <c r="Z73" s="9"/>
      <c r="AA73" s="51"/>
      <c r="AB73" s="9">
        <f aca="true" t="shared" si="21" ref="AB73:AB104">Z73+AA73</f>
        <v>0</v>
      </c>
      <c r="AC73" s="50"/>
      <c r="AD73" s="9"/>
      <c r="AE73" s="1"/>
      <c r="AF73" s="38">
        <f t="shared" si="13"/>
        <v>0</v>
      </c>
      <c r="AG73" s="1">
        <f t="shared" si="13"/>
        <v>0</v>
      </c>
      <c r="AH73" s="7"/>
      <c r="AI73" s="9"/>
      <c r="AJ73" s="9"/>
      <c r="AK73" s="9"/>
      <c r="AL73" s="1">
        <f t="shared" si="15"/>
        <v>0</v>
      </c>
      <c r="AM73" s="58"/>
      <c r="AN73" s="9"/>
      <c r="AO73" s="9"/>
      <c r="AP73" s="8"/>
      <c r="AQ73" s="8"/>
      <c r="AR73" s="3">
        <f t="shared" si="17"/>
        <v>0</v>
      </c>
      <c r="AS73" s="10"/>
      <c r="AT73" s="9">
        <f t="shared" si="18"/>
        <v>0</v>
      </c>
      <c r="AU73" s="9"/>
      <c r="AV73" s="9"/>
      <c r="AW73" s="41"/>
      <c r="AX73" s="3">
        <f t="shared" si="19"/>
        <v>0</v>
      </c>
    </row>
    <row r="74" spans="1:50" ht="11.25">
      <c r="A74" s="16">
        <v>69</v>
      </c>
      <c r="B74" s="24" t="s">
        <v>135</v>
      </c>
      <c r="C74" s="24" t="s">
        <v>21</v>
      </c>
      <c r="D74" s="8"/>
      <c r="E74" s="9"/>
      <c r="F74" s="8"/>
      <c r="G74" s="9"/>
      <c r="H74" s="8"/>
      <c r="I74" s="1"/>
      <c r="J74" s="5"/>
      <c r="K74" s="6"/>
      <c r="L74" s="40"/>
      <c r="M74" s="1">
        <v>1676</v>
      </c>
      <c r="N74" s="1">
        <v>1583</v>
      </c>
      <c r="O74" s="1">
        <v>1676</v>
      </c>
      <c r="P74" s="1"/>
      <c r="Q74" s="1">
        <f t="shared" si="11"/>
        <v>1676</v>
      </c>
      <c r="R74" s="1">
        <v>1599</v>
      </c>
      <c r="S74" s="9">
        <v>1700.96</v>
      </c>
      <c r="T74" s="1">
        <v>1850</v>
      </c>
      <c r="U74" s="38">
        <f t="shared" si="2"/>
        <v>5052.96</v>
      </c>
      <c r="V74" s="1">
        <f t="shared" si="2"/>
        <v>5032</v>
      </c>
      <c r="W74" s="37">
        <f t="shared" si="3"/>
        <v>20.960000000000036</v>
      </c>
      <c r="X74" s="51">
        <v>1600</v>
      </c>
      <c r="Y74" s="50">
        <v>1598</v>
      </c>
      <c r="Z74" s="9">
        <v>1669.68</v>
      </c>
      <c r="AA74" s="51">
        <v>177.6</v>
      </c>
      <c r="AB74" s="9">
        <f t="shared" si="21"/>
        <v>1847.28</v>
      </c>
      <c r="AC74" s="50">
        <v>1844.2</v>
      </c>
      <c r="AD74" s="9">
        <v>1669.68</v>
      </c>
      <c r="AE74" s="1">
        <v>1668</v>
      </c>
      <c r="AF74" s="38">
        <f t="shared" si="13"/>
        <v>5116.96</v>
      </c>
      <c r="AG74" s="1">
        <f t="shared" si="13"/>
        <v>5110.2</v>
      </c>
      <c r="AH74" s="37">
        <f t="shared" si="14"/>
        <v>6.760000000000218</v>
      </c>
      <c r="AI74" s="9">
        <v>1669.68</v>
      </c>
      <c r="AJ74" s="9">
        <v>87.2</v>
      </c>
      <c r="AK74" s="9">
        <v>327.6</v>
      </c>
      <c r="AL74" s="1">
        <f t="shared" si="15"/>
        <v>2084.48</v>
      </c>
      <c r="AM74" s="58">
        <v>2083</v>
      </c>
      <c r="AN74" s="39">
        <f t="shared" si="16"/>
        <v>1.4800000000000182</v>
      </c>
      <c r="AO74" s="9">
        <v>1669.68</v>
      </c>
      <c r="AP74" s="8">
        <v>44.8</v>
      </c>
      <c r="AQ74" s="8">
        <v>205.12</v>
      </c>
      <c r="AR74" s="3">
        <f t="shared" si="17"/>
        <v>1919.6</v>
      </c>
      <c r="AS74" s="10"/>
      <c r="AT74" s="9">
        <f t="shared" si="18"/>
        <v>1919.6</v>
      </c>
      <c r="AU74" s="9">
        <v>1669.68</v>
      </c>
      <c r="AV74" s="9">
        <v>30</v>
      </c>
      <c r="AW74" s="41"/>
      <c r="AX74" s="3">
        <f t="shared" si="19"/>
        <v>1699.68</v>
      </c>
    </row>
    <row r="75" spans="1:50" ht="11.25">
      <c r="A75" s="18">
        <v>70</v>
      </c>
      <c r="B75" s="23" t="s">
        <v>105</v>
      </c>
      <c r="C75" s="23" t="s">
        <v>21</v>
      </c>
      <c r="D75" s="8">
        <v>2250</v>
      </c>
      <c r="E75" s="9">
        <v>2248</v>
      </c>
      <c r="F75" s="8">
        <v>2400</v>
      </c>
      <c r="G75" s="9">
        <v>2390</v>
      </c>
      <c r="H75" s="8">
        <v>2437.19</v>
      </c>
      <c r="I75" s="1">
        <v>2428</v>
      </c>
      <c r="J75" s="5">
        <f t="shared" si="20"/>
        <v>7087.1900000000005</v>
      </c>
      <c r="K75" s="6">
        <f t="shared" si="20"/>
        <v>7066</v>
      </c>
      <c r="L75" s="37">
        <f t="shared" si="1"/>
        <v>21.19000000000051</v>
      </c>
      <c r="M75" s="1">
        <v>2514</v>
      </c>
      <c r="N75" s="1">
        <v>2512</v>
      </c>
      <c r="O75" s="1">
        <v>2514</v>
      </c>
      <c r="P75" s="1">
        <v>215.4</v>
      </c>
      <c r="Q75" s="1">
        <f t="shared" si="11"/>
        <v>2729.4</v>
      </c>
      <c r="R75" s="1">
        <v>2729</v>
      </c>
      <c r="S75" s="47">
        <v>2551.44</v>
      </c>
      <c r="T75" s="1">
        <v>2542</v>
      </c>
      <c r="U75" s="38">
        <f t="shared" si="2"/>
        <v>7794.84</v>
      </c>
      <c r="V75" s="1">
        <f t="shared" si="2"/>
        <v>7783</v>
      </c>
      <c r="W75" s="37">
        <f aca="true" t="shared" si="22" ref="W75:W104">U75-V75</f>
        <v>11.840000000000146</v>
      </c>
      <c r="X75" s="51">
        <v>2400</v>
      </c>
      <c r="Y75" s="50">
        <v>2373</v>
      </c>
      <c r="Z75" s="9">
        <v>2504.52</v>
      </c>
      <c r="AA75" s="51">
        <v>266.4</v>
      </c>
      <c r="AB75" s="9">
        <f t="shared" si="21"/>
        <v>2770.92</v>
      </c>
      <c r="AC75" s="50">
        <v>2739</v>
      </c>
      <c r="AD75" s="9">
        <v>2504.52</v>
      </c>
      <c r="AE75" s="1">
        <v>2495</v>
      </c>
      <c r="AF75" s="38">
        <f t="shared" si="13"/>
        <v>7675.4400000000005</v>
      </c>
      <c r="AG75" s="1">
        <f t="shared" si="13"/>
        <v>7607</v>
      </c>
      <c r="AH75" s="7">
        <f t="shared" si="14"/>
        <v>68.44000000000051</v>
      </c>
      <c r="AI75" s="9">
        <v>2504.52</v>
      </c>
      <c r="AJ75" s="9">
        <v>130.8</v>
      </c>
      <c r="AK75" s="9"/>
      <c r="AL75" s="1">
        <f t="shared" si="15"/>
        <v>2635.32</v>
      </c>
      <c r="AM75" s="58">
        <v>2496</v>
      </c>
      <c r="AN75" s="9">
        <f t="shared" si="16"/>
        <v>139.32000000000016</v>
      </c>
      <c r="AO75" s="9">
        <v>2504.52</v>
      </c>
      <c r="AP75" s="8">
        <v>67.2</v>
      </c>
      <c r="AQ75" s="8"/>
      <c r="AR75" s="3">
        <f t="shared" si="17"/>
        <v>2571.72</v>
      </c>
      <c r="AS75" s="10"/>
      <c r="AT75" s="9">
        <f t="shared" si="18"/>
        <v>2571.72</v>
      </c>
      <c r="AU75" s="9">
        <v>2504.52</v>
      </c>
      <c r="AV75" s="9">
        <v>45</v>
      </c>
      <c r="AW75" s="41"/>
      <c r="AX75" s="3">
        <f t="shared" si="19"/>
        <v>2549.52</v>
      </c>
    </row>
    <row r="76" spans="1:50" ht="11.25">
      <c r="A76" s="16">
        <v>71</v>
      </c>
      <c r="B76" s="23" t="s">
        <v>61</v>
      </c>
      <c r="C76" s="23" t="s">
        <v>21</v>
      </c>
      <c r="D76" s="8">
        <v>2250</v>
      </c>
      <c r="E76" s="9">
        <v>2244</v>
      </c>
      <c r="F76" s="8">
        <v>2400</v>
      </c>
      <c r="G76" s="9">
        <v>2384</v>
      </c>
      <c r="H76" s="8">
        <v>2437.19</v>
      </c>
      <c r="I76" s="1">
        <v>2443</v>
      </c>
      <c r="J76" s="5">
        <f t="shared" si="20"/>
        <v>7087.1900000000005</v>
      </c>
      <c r="K76" s="6">
        <f t="shared" si="20"/>
        <v>7071</v>
      </c>
      <c r="L76" s="37">
        <f t="shared" si="1"/>
        <v>16.19000000000051</v>
      </c>
      <c r="M76" s="1">
        <v>2514</v>
      </c>
      <c r="N76" s="1">
        <v>2507</v>
      </c>
      <c r="O76" s="1">
        <v>2514</v>
      </c>
      <c r="P76" s="1">
        <v>215.4</v>
      </c>
      <c r="Q76" s="1">
        <f aca="true" t="shared" si="23" ref="Q76:Q104">O76+P76</f>
        <v>2729.4</v>
      </c>
      <c r="R76" s="1">
        <v>2502</v>
      </c>
      <c r="S76" s="9">
        <v>2551.44</v>
      </c>
      <c r="T76" s="1">
        <v>2770</v>
      </c>
      <c r="U76" s="38">
        <f aca="true" t="shared" si="24" ref="U76:V104">M76+Q76+S76</f>
        <v>7794.84</v>
      </c>
      <c r="V76" s="1">
        <f t="shared" si="24"/>
        <v>7779</v>
      </c>
      <c r="W76" s="37">
        <f t="shared" si="22"/>
        <v>15.840000000000146</v>
      </c>
      <c r="X76" s="51">
        <v>2400</v>
      </c>
      <c r="Y76" s="50">
        <v>2253</v>
      </c>
      <c r="Z76" s="9">
        <v>2504.52</v>
      </c>
      <c r="AA76" s="51">
        <v>266.4</v>
      </c>
      <c r="AB76" s="9">
        <f t="shared" si="21"/>
        <v>2770.92</v>
      </c>
      <c r="AC76" s="50">
        <v>2478</v>
      </c>
      <c r="AD76" s="9">
        <v>2504.52</v>
      </c>
      <c r="AE76" s="1">
        <v>2808</v>
      </c>
      <c r="AF76" s="38">
        <f t="shared" si="13"/>
        <v>7675.4400000000005</v>
      </c>
      <c r="AG76" s="1">
        <f t="shared" si="13"/>
        <v>7539</v>
      </c>
      <c r="AH76" s="7">
        <f t="shared" si="14"/>
        <v>136.4400000000005</v>
      </c>
      <c r="AI76" s="9">
        <v>2504.52</v>
      </c>
      <c r="AJ76" s="9">
        <v>130.8</v>
      </c>
      <c r="AK76" s="9"/>
      <c r="AL76" s="1">
        <f t="shared" si="15"/>
        <v>2635.32</v>
      </c>
      <c r="AM76" s="58">
        <v>2312</v>
      </c>
      <c r="AN76" s="9">
        <f t="shared" si="16"/>
        <v>323.32000000000016</v>
      </c>
      <c r="AO76" s="9">
        <v>2504.52</v>
      </c>
      <c r="AP76" s="8">
        <v>67.2</v>
      </c>
      <c r="AQ76" s="8"/>
      <c r="AR76" s="3">
        <f t="shared" si="17"/>
        <v>2571.72</v>
      </c>
      <c r="AS76" s="10"/>
      <c r="AT76" s="9">
        <f t="shared" si="18"/>
        <v>2571.72</v>
      </c>
      <c r="AU76" s="9">
        <v>2504.52</v>
      </c>
      <c r="AV76" s="9">
        <v>45</v>
      </c>
      <c r="AW76" s="41"/>
      <c r="AX76" s="3">
        <f t="shared" si="19"/>
        <v>2549.52</v>
      </c>
    </row>
    <row r="77" spans="1:50" ht="11.25">
      <c r="A77" s="18">
        <v>72</v>
      </c>
      <c r="B77" s="24" t="s">
        <v>62</v>
      </c>
      <c r="C77" s="24" t="s">
        <v>21</v>
      </c>
      <c r="D77" s="8">
        <v>1500</v>
      </c>
      <c r="E77" s="9">
        <v>1482</v>
      </c>
      <c r="F77" s="8">
        <v>1600</v>
      </c>
      <c r="G77" s="9">
        <v>1550</v>
      </c>
      <c r="H77" s="8">
        <v>1624.79</v>
      </c>
      <c r="I77" s="1">
        <v>1652</v>
      </c>
      <c r="J77" s="5">
        <f t="shared" si="20"/>
        <v>4724.79</v>
      </c>
      <c r="K77" s="6">
        <f t="shared" si="20"/>
        <v>4684</v>
      </c>
      <c r="L77" s="40">
        <f aca="true" t="shared" si="25" ref="L77:L104">J77-K77</f>
        <v>40.789999999999964</v>
      </c>
      <c r="M77" s="1">
        <v>1676</v>
      </c>
      <c r="N77" s="1">
        <v>1660</v>
      </c>
      <c r="O77" s="1">
        <v>1676</v>
      </c>
      <c r="P77" s="1"/>
      <c r="Q77" s="1">
        <f t="shared" si="23"/>
        <v>1676</v>
      </c>
      <c r="R77" s="1">
        <v>1664</v>
      </c>
      <c r="S77" s="47">
        <v>1700.96</v>
      </c>
      <c r="T77" s="1">
        <v>1720</v>
      </c>
      <c r="U77" s="38">
        <f t="shared" si="24"/>
        <v>5052.96</v>
      </c>
      <c r="V77" s="1">
        <f t="shared" si="24"/>
        <v>5044</v>
      </c>
      <c r="W77" s="37">
        <f t="shared" si="22"/>
        <v>8.960000000000036</v>
      </c>
      <c r="X77" s="51">
        <v>1600</v>
      </c>
      <c r="Y77" s="50">
        <v>1600</v>
      </c>
      <c r="Z77" s="9">
        <v>1669.68</v>
      </c>
      <c r="AA77" s="51">
        <v>177.6</v>
      </c>
      <c r="AB77" s="9">
        <f t="shared" si="21"/>
        <v>1847.28</v>
      </c>
      <c r="AC77" s="50">
        <v>1660</v>
      </c>
      <c r="AD77" s="9">
        <v>1669.68</v>
      </c>
      <c r="AE77" s="1">
        <v>1831</v>
      </c>
      <c r="AF77" s="38">
        <f t="shared" si="13"/>
        <v>5116.96</v>
      </c>
      <c r="AG77" s="1">
        <f t="shared" si="13"/>
        <v>5091</v>
      </c>
      <c r="AH77" s="37">
        <f t="shared" si="14"/>
        <v>25.960000000000036</v>
      </c>
      <c r="AI77" s="9">
        <v>1669.68</v>
      </c>
      <c r="AJ77" s="9">
        <v>87.2</v>
      </c>
      <c r="AK77" s="9">
        <v>327.6</v>
      </c>
      <c r="AL77" s="1">
        <f t="shared" si="15"/>
        <v>2084.48</v>
      </c>
      <c r="AM77" s="58">
        <v>2064</v>
      </c>
      <c r="AN77" s="39">
        <f t="shared" si="16"/>
        <v>20.480000000000018</v>
      </c>
      <c r="AO77" s="9">
        <v>1669.68</v>
      </c>
      <c r="AP77" s="8">
        <v>44.8</v>
      </c>
      <c r="AQ77" s="8">
        <v>205.12</v>
      </c>
      <c r="AR77" s="3">
        <f t="shared" si="17"/>
        <v>1919.6</v>
      </c>
      <c r="AS77" s="10"/>
      <c r="AT77" s="9">
        <f t="shared" si="18"/>
        <v>1919.6</v>
      </c>
      <c r="AU77" s="9">
        <v>1669.68</v>
      </c>
      <c r="AV77" s="9">
        <v>30</v>
      </c>
      <c r="AW77" s="41"/>
      <c r="AX77" s="3">
        <f t="shared" si="19"/>
        <v>1699.68</v>
      </c>
    </row>
    <row r="78" spans="1:50" ht="11.25">
      <c r="A78" s="16">
        <v>73</v>
      </c>
      <c r="B78" s="24" t="s">
        <v>63</v>
      </c>
      <c r="C78" s="24" t="s">
        <v>21</v>
      </c>
      <c r="D78" s="8">
        <v>1500</v>
      </c>
      <c r="E78" s="9">
        <v>1419</v>
      </c>
      <c r="F78" s="8">
        <v>1600</v>
      </c>
      <c r="G78" s="9">
        <v>1600</v>
      </c>
      <c r="H78" s="8">
        <v>1624.79</v>
      </c>
      <c r="I78" s="1">
        <v>1695</v>
      </c>
      <c r="J78" s="5">
        <f t="shared" si="20"/>
        <v>4724.79</v>
      </c>
      <c r="K78" s="6">
        <f t="shared" si="20"/>
        <v>4714</v>
      </c>
      <c r="L78" s="37">
        <f t="shared" si="25"/>
        <v>10.789999999999964</v>
      </c>
      <c r="M78" s="1">
        <v>1676</v>
      </c>
      <c r="N78" s="1">
        <v>1647</v>
      </c>
      <c r="O78" s="1">
        <v>1676</v>
      </c>
      <c r="P78" s="1">
        <v>143.6</v>
      </c>
      <c r="Q78" s="1">
        <f t="shared" si="23"/>
        <v>1819.6</v>
      </c>
      <c r="R78" s="1">
        <v>1537</v>
      </c>
      <c r="S78" s="9">
        <v>1700.96</v>
      </c>
      <c r="T78" s="1">
        <v>2000</v>
      </c>
      <c r="U78" s="38">
        <f t="shared" si="24"/>
        <v>5196.5599999999995</v>
      </c>
      <c r="V78" s="1">
        <f t="shared" si="24"/>
        <v>5184</v>
      </c>
      <c r="W78" s="37">
        <f t="shared" si="22"/>
        <v>12.55999999999949</v>
      </c>
      <c r="X78" s="51">
        <v>1600</v>
      </c>
      <c r="Y78" s="50">
        <v>1541</v>
      </c>
      <c r="Z78" s="9">
        <v>1669.68</v>
      </c>
      <c r="AA78" s="51">
        <v>177.6</v>
      </c>
      <c r="AB78" s="9">
        <f t="shared" si="21"/>
        <v>1847.28</v>
      </c>
      <c r="AC78" s="50">
        <v>1603</v>
      </c>
      <c r="AD78" s="9">
        <v>1669.68</v>
      </c>
      <c r="AE78" s="1">
        <v>1954</v>
      </c>
      <c r="AF78" s="38">
        <f t="shared" si="13"/>
        <v>5116.96</v>
      </c>
      <c r="AG78" s="1">
        <f t="shared" si="13"/>
        <v>5098</v>
      </c>
      <c r="AH78" s="37">
        <f t="shared" si="14"/>
        <v>18.960000000000036</v>
      </c>
      <c r="AI78" s="9">
        <v>1669.68</v>
      </c>
      <c r="AJ78" s="9">
        <v>87.2</v>
      </c>
      <c r="AK78" s="9">
        <v>327.6</v>
      </c>
      <c r="AL78" s="1">
        <f t="shared" si="15"/>
        <v>2084.48</v>
      </c>
      <c r="AM78" s="58">
        <v>2050</v>
      </c>
      <c r="AN78" s="39">
        <f t="shared" si="16"/>
        <v>34.48000000000002</v>
      </c>
      <c r="AO78" s="9">
        <v>1669.68</v>
      </c>
      <c r="AP78" s="8">
        <v>44.8</v>
      </c>
      <c r="AQ78" s="8">
        <v>205.12</v>
      </c>
      <c r="AR78" s="3">
        <f t="shared" si="17"/>
        <v>1919.6</v>
      </c>
      <c r="AS78" s="10"/>
      <c r="AT78" s="9">
        <f t="shared" si="18"/>
        <v>1919.6</v>
      </c>
      <c r="AU78" s="9">
        <v>1669.68</v>
      </c>
      <c r="AV78" s="9">
        <v>30</v>
      </c>
      <c r="AW78" s="41"/>
      <c r="AX78" s="3">
        <f t="shared" si="19"/>
        <v>1699.68</v>
      </c>
    </row>
    <row r="79" spans="1:50" ht="11.25">
      <c r="A79" s="18">
        <v>74</v>
      </c>
      <c r="B79" s="23" t="s">
        <v>88</v>
      </c>
      <c r="C79" s="23" t="s">
        <v>21</v>
      </c>
      <c r="D79" s="8">
        <v>2250</v>
      </c>
      <c r="E79" s="9">
        <v>2221</v>
      </c>
      <c r="F79" s="8">
        <v>2400</v>
      </c>
      <c r="G79" s="9">
        <v>2386</v>
      </c>
      <c r="H79" s="8">
        <v>2437.19</v>
      </c>
      <c r="I79" s="1">
        <v>2443</v>
      </c>
      <c r="J79" s="5">
        <f t="shared" si="20"/>
        <v>7087.1900000000005</v>
      </c>
      <c r="K79" s="6">
        <f t="shared" si="20"/>
        <v>7050</v>
      </c>
      <c r="L79" s="37">
        <f t="shared" si="25"/>
        <v>37.19000000000051</v>
      </c>
      <c r="M79" s="1">
        <v>2514</v>
      </c>
      <c r="N79" s="1">
        <v>2512</v>
      </c>
      <c r="O79" s="1">
        <v>2514</v>
      </c>
      <c r="P79" s="1">
        <v>215.4</v>
      </c>
      <c r="Q79" s="1">
        <f t="shared" si="23"/>
        <v>2729.4</v>
      </c>
      <c r="R79" s="1">
        <v>2503</v>
      </c>
      <c r="S79" s="47">
        <v>2551.44</v>
      </c>
      <c r="T79" s="1">
        <v>2728</v>
      </c>
      <c r="U79" s="38">
        <f t="shared" si="24"/>
        <v>7794.84</v>
      </c>
      <c r="V79" s="1">
        <f t="shared" si="24"/>
        <v>7743</v>
      </c>
      <c r="W79" s="7">
        <f t="shared" si="22"/>
        <v>51.840000000000146</v>
      </c>
      <c r="X79" s="51">
        <v>2400</v>
      </c>
      <c r="Y79" s="50">
        <v>0</v>
      </c>
      <c r="Z79" s="9">
        <v>2504.52</v>
      </c>
      <c r="AA79" s="51"/>
      <c r="AB79" s="9">
        <f t="shared" si="21"/>
        <v>2504.52</v>
      </c>
      <c r="AC79" s="50">
        <v>0</v>
      </c>
      <c r="AD79" s="9">
        <v>2504.52</v>
      </c>
      <c r="AE79" s="1">
        <v>7380.8</v>
      </c>
      <c r="AF79" s="38">
        <f t="shared" si="13"/>
        <v>7409.040000000001</v>
      </c>
      <c r="AG79" s="1">
        <f t="shared" si="13"/>
        <v>7380.8</v>
      </c>
      <c r="AH79" s="37">
        <f t="shared" si="14"/>
        <v>28.24000000000069</v>
      </c>
      <c r="AI79" s="9">
        <v>2504.52</v>
      </c>
      <c r="AJ79" s="9">
        <v>130.8</v>
      </c>
      <c r="AK79" s="9">
        <v>491.4</v>
      </c>
      <c r="AL79" s="1">
        <f t="shared" si="15"/>
        <v>3126.7200000000003</v>
      </c>
      <c r="AM79" s="58">
        <v>3122</v>
      </c>
      <c r="AN79" s="39">
        <f t="shared" si="16"/>
        <v>4.720000000000255</v>
      </c>
      <c r="AO79" s="9">
        <v>2504.52</v>
      </c>
      <c r="AP79" s="8">
        <v>67.2</v>
      </c>
      <c r="AQ79" s="8">
        <v>307.68</v>
      </c>
      <c r="AR79" s="3">
        <f t="shared" si="17"/>
        <v>2879.3999999999996</v>
      </c>
      <c r="AS79" s="10"/>
      <c r="AT79" s="9">
        <f t="shared" si="18"/>
        <v>2879.3999999999996</v>
      </c>
      <c r="AU79" s="9">
        <v>2504.52</v>
      </c>
      <c r="AV79" s="9">
        <v>45</v>
      </c>
      <c r="AW79" s="41"/>
      <c r="AX79" s="3">
        <f t="shared" si="19"/>
        <v>2549.52</v>
      </c>
    </row>
    <row r="80" spans="1:50" ht="11.25">
      <c r="A80" s="16">
        <v>75</v>
      </c>
      <c r="B80" s="24" t="s">
        <v>64</v>
      </c>
      <c r="C80" s="24" t="s">
        <v>23</v>
      </c>
      <c r="D80" s="8">
        <v>1875</v>
      </c>
      <c r="E80" s="9">
        <v>1810</v>
      </c>
      <c r="F80" s="8">
        <v>2400</v>
      </c>
      <c r="G80" s="9">
        <v>2387.6</v>
      </c>
      <c r="H80" s="8">
        <v>2437.18</v>
      </c>
      <c r="I80" s="1">
        <v>2426</v>
      </c>
      <c r="J80" s="5">
        <f t="shared" si="20"/>
        <v>6712.18</v>
      </c>
      <c r="K80" s="6">
        <f t="shared" si="20"/>
        <v>6623.6</v>
      </c>
      <c r="L80" s="40">
        <f t="shared" si="25"/>
        <v>88.57999999999993</v>
      </c>
      <c r="M80" s="1">
        <f>2514+4.8</f>
        <v>2518.8</v>
      </c>
      <c r="N80" s="1">
        <v>2518.8</v>
      </c>
      <c r="O80" s="1">
        <v>2514</v>
      </c>
      <c r="P80" s="1"/>
      <c r="Q80" s="1">
        <f>O80+P80-4.8</f>
        <v>2509.2</v>
      </c>
      <c r="R80" s="1">
        <v>2504</v>
      </c>
      <c r="S80" s="9">
        <v>2551.44</v>
      </c>
      <c r="T80" s="1">
        <v>2542.8</v>
      </c>
      <c r="U80" s="38">
        <f t="shared" si="24"/>
        <v>7579.4400000000005</v>
      </c>
      <c r="V80" s="1">
        <f t="shared" si="24"/>
        <v>7565.6</v>
      </c>
      <c r="W80" s="37">
        <f t="shared" si="22"/>
        <v>13.840000000000146</v>
      </c>
      <c r="X80" s="51">
        <v>2400</v>
      </c>
      <c r="Y80" s="50">
        <v>2384.6</v>
      </c>
      <c r="Z80" s="9">
        <v>2504.52</v>
      </c>
      <c r="AA80" s="51">
        <v>266.4</v>
      </c>
      <c r="AB80" s="9">
        <f t="shared" si="21"/>
        <v>2770.92</v>
      </c>
      <c r="AC80" s="50">
        <v>2543.6</v>
      </c>
      <c r="AD80" s="9">
        <v>2504.52</v>
      </c>
      <c r="AE80" s="1">
        <v>2743.6</v>
      </c>
      <c r="AF80" s="38">
        <f t="shared" si="13"/>
        <v>7675.4400000000005</v>
      </c>
      <c r="AG80" s="1">
        <f t="shared" si="13"/>
        <v>7671.799999999999</v>
      </c>
      <c r="AH80" s="37">
        <f t="shared" si="14"/>
        <v>3.640000000001237</v>
      </c>
      <c r="AI80" s="9">
        <v>2504.52</v>
      </c>
      <c r="AJ80" s="9">
        <v>130.8</v>
      </c>
      <c r="AK80" s="9">
        <v>491.4</v>
      </c>
      <c r="AL80" s="1">
        <f t="shared" si="15"/>
        <v>3126.7200000000003</v>
      </c>
      <c r="AM80" s="58">
        <v>2990.6</v>
      </c>
      <c r="AN80" s="9">
        <f t="shared" si="16"/>
        <v>136.12000000000035</v>
      </c>
      <c r="AO80" s="9">
        <v>2504.52</v>
      </c>
      <c r="AP80" s="8">
        <v>67.2</v>
      </c>
      <c r="AQ80" s="8"/>
      <c r="AR80" s="3">
        <f t="shared" si="17"/>
        <v>2571.72</v>
      </c>
      <c r="AS80" s="10"/>
      <c r="AT80" s="9">
        <f t="shared" si="18"/>
        <v>2571.72</v>
      </c>
      <c r="AU80" s="9">
        <v>2504.52</v>
      </c>
      <c r="AV80" s="9">
        <v>45</v>
      </c>
      <c r="AW80" s="41"/>
      <c r="AX80" s="3">
        <f t="shared" si="19"/>
        <v>2549.52</v>
      </c>
    </row>
    <row r="81" spans="1:50" ht="11.25">
      <c r="A81" s="18">
        <v>76</v>
      </c>
      <c r="B81" s="24" t="s">
        <v>65</v>
      </c>
      <c r="C81" s="24" t="s">
        <v>22</v>
      </c>
      <c r="D81" s="8">
        <f>2250+9</f>
        <v>2259</v>
      </c>
      <c r="E81" s="9">
        <v>2259</v>
      </c>
      <c r="F81" s="8">
        <f>2400-9</f>
        <v>2391</v>
      </c>
      <c r="G81" s="9">
        <v>2381</v>
      </c>
      <c r="H81" s="8">
        <v>2437.18</v>
      </c>
      <c r="I81" s="1">
        <v>2447</v>
      </c>
      <c r="J81" s="5">
        <f t="shared" si="20"/>
        <v>7087.18</v>
      </c>
      <c r="K81" s="6">
        <f t="shared" si="20"/>
        <v>7087</v>
      </c>
      <c r="L81" s="37">
        <f t="shared" si="25"/>
        <v>0.18000000000029104</v>
      </c>
      <c r="M81" s="1">
        <v>2514</v>
      </c>
      <c r="N81" s="1">
        <v>2514</v>
      </c>
      <c r="O81" s="1">
        <v>2514</v>
      </c>
      <c r="P81" s="1">
        <v>215.4</v>
      </c>
      <c r="Q81" s="1">
        <f t="shared" si="23"/>
        <v>2729.4</v>
      </c>
      <c r="R81" s="1">
        <v>2626</v>
      </c>
      <c r="S81" s="47">
        <v>2551.44</v>
      </c>
      <c r="T81" s="1">
        <v>2648</v>
      </c>
      <c r="U81" s="38">
        <f t="shared" si="24"/>
        <v>7794.84</v>
      </c>
      <c r="V81" s="1">
        <f t="shared" si="24"/>
        <v>7788</v>
      </c>
      <c r="W81" s="37">
        <f t="shared" si="22"/>
        <v>6.8400000000001455</v>
      </c>
      <c r="X81" s="51">
        <v>2400</v>
      </c>
      <c r="Y81" s="50">
        <v>2357</v>
      </c>
      <c r="Z81" s="9">
        <v>2504.52</v>
      </c>
      <c r="AA81" s="51">
        <v>266.4</v>
      </c>
      <c r="AB81" s="9">
        <f t="shared" si="21"/>
        <v>2770.92</v>
      </c>
      <c r="AC81" s="50">
        <v>2768</v>
      </c>
      <c r="AD81" s="9">
        <v>2504.52</v>
      </c>
      <c r="AE81" s="1">
        <v>2545</v>
      </c>
      <c r="AF81" s="38">
        <f t="shared" si="13"/>
        <v>7675.4400000000005</v>
      </c>
      <c r="AG81" s="1">
        <f t="shared" si="13"/>
        <v>7670</v>
      </c>
      <c r="AH81" s="37">
        <f t="shared" si="14"/>
        <v>5.440000000000509</v>
      </c>
      <c r="AI81" s="9">
        <v>2504.52</v>
      </c>
      <c r="AJ81" s="9">
        <v>130.8</v>
      </c>
      <c r="AK81" s="9">
        <v>491.4</v>
      </c>
      <c r="AL81" s="1">
        <f t="shared" si="15"/>
        <v>3126.7200000000003</v>
      </c>
      <c r="AM81" s="58">
        <v>3099</v>
      </c>
      <c r="AN81" s="39">
        <f t="shared" si="16"/>
        <v>27.720000000000255</v>
      </c>
      <c r="AO81" s="9">
        <v>2504.52</v>
      </c>
      <c r="AP81" s="8">
        <v>67.2</v>
      </c>
      <c r="AQ81" s="8">
        <v>307.68</v>
      </c>
      <c r="AR81" s="3">
        <f t="shared" si="17"/>
        <v>2879.3999999999996</v>
      </c>
      <c r="AS81" s="10"/>
      <c r="AT81" s="9">
        <f t="shared" si="18"/>
        <v>2879.3999999999996</v>
      </c>
      <c r="AU81" s="9">
        <v>2504.52</v>
      </c>
      <c r="AV81" s="9">
        <v>45</v>
      </c>
      <c r="AW81" s="41"/>
      <c r="AX81" s="3">
        <f t="shared" si="19"/>
        <v>2549.52</v>
      </c>
    </row>
    <row r="82" spans="1:50" ht="11.25">
      <c r="A82" s="16">
        <v>77</v>
      </c>
      <c r="B82" s="24" t="s">
        <v>66</v>
      </c>
      <c r="C82" s="24" t="s">
        <v>21</v>
      </c>
      <c r="D82" s="8">
        <v>1500</v>
      </c>
      <c r="E82" s="9">
        <v>1109</v>
      </c>
      <c r="F82" s="8">
        <v>1600</v>
      </c>
      <c r="G82" s="9">
        <v>1431</v>
      </c>
      <c r="H82" s="8">
        <v>1624.79</v>
      </c>
      <c r="I82" s="1">
        <v>2018.2</v>
      </c>
      <c r="J82" s="5">
        <f t="shared" si="20"/>
        <v>4724.79</v>
      </c>
      <c r="K82" s="6">
        <f t="shared" si="20"/>
        <v>4558.2</v>
      </c>
      <c r="L82" s="40">
        <f t="shared" si="25"/>
        <v>166.59000000000015</v>
      </c>
      <c r="M82" s="1">
        <v>1676</v>
      </c>
      <c r="N82" s="1">
        <v>1622.4</v>
      </c>
      <c r="O82" s="1">
        <v>1676</v>
      </c>
      <c r="P82" s="1"/>
      <c r="Q82" s="1">
        <f t="shared" si="23"/>
        <v>1676</v>
      </c>
      <c r="R82" s="1">
        <v>1239.4</v>
      </c>
      <c r="S82" s="9">
        <v>1700.96</v>
      </c>
      <c r="T82" s="1">
        <v>1018</v>
      </c>
      <c r="U82" s="38">
        <f t="shared" si="24"/>
        <v>5052.96</v>
      </c>
      <c r="V82" s="1">
        <f t="shared" si="24"/>
        <v>3879.8</v>
      </c>
      <c r="W82" s="7">
        <f t="shared" si="22"/>
        <v>1173.1599999999999</v>
      </c>
      <c r="X82" s="51">
        <v>1600</v>
      </c>
      <c r="Y82" s="50">
        <v>1561.8</v>
      </c>
      <c r="Z82" s="9">
        <v>1669.68</v>
      </c>
      <c r="AA82" s="51"/>
      <c r="AB82" s="9">
        <f t="shared" si="21"/>
        <v>1669.68</v>
      </c>
      <c r="AC82" s="50">
        <v>1661.2</v>
      </c>
      <c r="AD82" s="9">
        <v>1669.68</v>
      </c>
      <c r="AE82" s="1">
        <v>1608</v>
      </c>
      <c r="AF82" s="38">
        <f t="shared" si="13"/>
        <v>4939.360000000001</v>
      </c>
      <c r="AG82" s="1">
        <f t="shared" si="13"/>
        <v>4831</v>
      </c>
      <c r="AH82" s="7">
        <f t="shared" si="14"/>
        <v>108.36000000000058</v>
      </c>
      <c r="AI82" s="9">
        <v>1669.68</v>
      </c>
      <c r="AJ82" s="9">
        <v>87.2</v>
      </c>
      <c r="AK82" s="9"/>
      <c r="AL82" s="1">
        <f t="shared" si="15"/>
        <v>1756.88</v>
      </c>
      <c r="AM82" s="58">
        <v>0</v>
      </c>
      <c r="AN82" s="9">
        <f t="shared" si="16"/>
        <v>1756.88</v>
      </c>
      <c r="AO82" s="9">
        <v>1669.68</v>
      </c>
      <c r="AP82" s="8">
        <v>44.8</v>
      </c>
      <c r="AQ82" s="8"/>
      <c r="AR82" s="3">
        <f t="shared" si="17"/>
        <v>1714.48</v>
      </c>
      <c r="AS82" s="10"/>
      <c r="AT82" s="9">
        <f t="shared" si="18"/>
        <v>1714.48</v>
      </c>
      <c r="AU82" s="9">
        <v>1669.68</v>
      </c>
      <c r="AV82" s="9">
        <v>30</v>
      </c>
      <c r="AW82" s="41"/>
      <c r="AX82" s="3">
        <f t="shared" si="19"/>
        <v>1699.68</v>
      </c>
    </row>
    <row r="83" spans="1:50" ht="11.25">
      <c r="A83" s="18">
        <v>78</v>
      </c>
      <c r="B83" s="24" t="s">
        <v>85</v>
      </c>
      <c r="C83" s="24" t="s">
        <v>20</v>
      </c>
      <c r="D83" s="8">
        <v>1875</v>
      </c>
      <c r="E83" s="9">
        <v>1869</v>
      </c>
      <c r="F83" s="8">
        <v>2000</v>
      </c>
      <c r="G83" s="9">
        <v>1998</v>
      </c>
      <c r="H83" s="8">
        <v>2030.98</v>
      </c>
      <c r="I83" s="1">
        <v>2038.98</v>
      </c>
      <c r="J83" s="5">
        <f t="shared" si="20"/>
        <v>5905.98</v>
      </c>
      <c r="K83" s="6">
        <f t="shared" si="20"/>
        <v>5905.98</v>
      </c>
      <c r="L83" s="37">
        <f t="shared" si="25"/>
        <v>0</v>
      </c>
      <c r="M83" s="1">
        <v>2095</v>
      </c>
      <c r="N83" s="1">
        <v>2092</v>
      </c>
      <c r="O83" s="1">
        <v>2095</v>
      </c>
      <c r="P83" s="1">
        <v>179.5</v>
      </c>
      <c r="Q83" s="1">
        <f t="shared" si="23"/>
        <v>2274.5</v>
      </c>
      <c r="R83" s="1">
        <v>2092</v>
      </c>
      <c r="S83" s="47">
        <v>2126.2</v>
      </c>
      <c r="T83" s="1">
        <v>2309</v>
      </c>
      <c r="U83" s="38">
        <f t="shared" si="24"/>
        <v>6495.7</v>
      </c>
      <c r="V83" s="1">
        <f t="shared" si="24"/>
        <v>6493</v>
      </c>
      <c r="W83" s="37">
        <f t="shared" si="22"/>
        <v>2.699999999999818</v>
      </c>
      <c r="X83" s="51">
        <f>2000+3.4</f>
        <v>2003.4</v>
      </c>
      <c r="Y83" s="50">
        <v>2003.4</v>
      </c>
      <c r="Z83" s="9">
        <f>2087.1-3.4</f>
        <v>2083.7</v>
      </c>
      <c r="AA83" s="51">
        <v>222.9</v>
      </c>
      <c r="AB83" s="9">
        <f t="shared" si="21"/>
        <v>2306.6</v>
      </c>
      <c r="AC83" s="50">
        <v>2303</v>
      </c>
      <c r="AD83" s="9">
        <v>2087.1</v>
      </c>
      <c r="AE83" s="1">
        <v>2080.2</v>
      </c>
      <c r="AF83" s="38">
        <f t="shared" si="13"/>
        <v>6397.1</v>
      </c>
      <c r="AG83" s="1">
        <f t="shared" si="13"/>
        <v>6386.599999999999</v>
      </c>
      <c r="AH83" s="37">
        <f t="shared" si="14"/>
        <v>10.50000000000091</v>
      </c>
      <c r="AI83" s="9">
        <v>2087.1</v>
      </c>
      <c r="AJ83" s="9">
        <v>109</v>
      </c>
      <c r="AK83" s="9">
        <v>409.5</v>
      </c>
      <c r="AL83" s="1">
        <f t="shared" si="15"/>
        <v>2605.6</v>
      </c>
      <c r="AM83" s="58">
        <v>2597.4</v>
      </c>
      <c r="AN83" s="39">
        <f t="shared" si="16"/>
        <v>8.199999999999818</v>
      </c>
      <c r="AO83" s="9">
        <v>2087.1</v>
      </c>
      <c r="AP83" s="8">
        <v>56</v>
      </c>
      <c r="AQ83" s="8">
        <v>256.4</v>
      </c>
      <c r="AR83" s="3">
        <f t="shared" si="17"/>
        <v>2399.5</v>
      </c>
      <c r="AS83" s="10"/>
      <c r="AT83" s="9">
        <f t="shared" si="18"/>
        <v>2399.5</v>
      </c>
      <c r="AU83" s="9">
        <v>2087.1</v>
      </c>
      <c r="AV83" s="9">
        <v>37.5</v>
      </c>
      <c r="AW83" s="41"/>
      <c r="AX83" s="3">
        <f t="shared" si="19"/>
        <v>2124.6</v>
      </c>
    </row>
    <row r="84" spans="1:50" ht="11.25" customHeight="1">
      <c r="A84" s="16">
        <v>79</v>
      </c>
      <c r="B84" s="24" t="s">
        <v>84</v>
      </c>
      <c r="C84" s="26" t="s">
        <v>21</v>
      </c>
      <c r="D84" s="8">
        <v>1500</v>
      </c>
      <c r="E84" s="9">
        <v>1492</v>
      </c>
      <c r="F84" s="8">
        <v>1600</v>
      </c>
      <c r="G84" s="9">
        <v>1592</v>
      </c>
      <c r="H84" s="8">
        <v>1624.79</v>
      </c>
      <c r="I84" s="1">
        <v>1639.02</v>
      </c>
      <c r="J84" s="5">
        <f t="shared" si="20"/>
        <v>4724.79</v>
      </c>
      <c r="K84" s="6">
        <f t="shared" si="20"/>
        <v>4723.02</v>
      </c>
      <c r="L84" s="37">
        <f t="shared" si="25"/>
        <v>1.769999999999527</v>
      </c>
      <c r="M84" s="1">
        <f>1676+2</f>
        <v>1678</v>
      </c>
      <c r="N84" s="1">
        <v>1678</v>
      </c>
      <c r="O84" s="1">
        <v>1676</v>
      </c>
      <c r="P84" s="1">
        <v>143.6</v>
      </c>
      <c r="Q84" s="1">
        <f>O84+P84-2+2.2</f>
        <v>1819.8</v>
      </c>
      <c r="R84" s="1">
        <v>1819.8</v>
      </c>
      <c r="S84" s="9">
        <f>1700.96-2.2</f>
        <v>1698.76</v>
      </c>
      <c r="T84" s="1">
        <v>1690</v>
      </c>
      <c r="U84" s="38">
        <f t="shared" si="24"/>
        <v>5196.56</v>
      </c>
      <c r="V84" s="1">
        <f t="shared" si="24"/>
        <v>5187.8</v>
      </c>
      <c r="W84" s="37">
        <f t="shared" si="22"/>
        <v>8.760000000000218</v>
      </c>
      <c r="X84" s="51">
        <v>1600</v>
      </c>
      <c r="Y84" s="50">
        <v>1596</v>
      </c>
      <c r="Z84" s="9">
        <v>1669.68</v>
      </c>
      <c r="AA84" s="51">
        <v>177.6</v>
      </c>
      <c r="AB84" s="9">
        <f t="shared" si="21"/>
        <v>1847.28</v>
      </c>
      <c r="AC84" s="50">
        <v>1846</v>
      </c>
      <c r="AD84" s="9">
        <v>1669.68</v>
      </c>
      <c r="AE84" s="1">
        <v>1672</v>
      </c>
      <c r="AF84" s="38">
        <f t="shared" si="13"/>
        <v>5116.96</v>
      </c>
      <c r="AG84" s="1">
        <f t="shared" si="13"/>
        <v>5114</v>
      </c>
      <c r="AH84" s="37">
        <f t="shared" si="14"/>
        <v>2.9600000000000364</v>
      </c>
      <c r="AI84" s="9">
        <v>1669.68</v>
      </c>
      <c r="AJ84" s="9">
        <v>87.2</v>
      </c>
      <c r="AK84" s="9">
        <v>327.6</v>
      </c>
      <c r="AL84" s="1">
        <f t="shared" si="15"/>
        <v>2084.48</v>
      </c>
      <c r="AM84" s="58">
        <v>2075</v>
      </c>
      <c r="AN84" s="39">
        <f t="shared" si="16"/>
        <v>9.480000000000018</v>
      </c>
      <c r="AO84" s="9">
        <v>1669.68</v>
      </c>
      <c r="AP84" s="8">
        <v>44.8</v>
      </c>
      <c r="AQ84" s="8">
        <v>205.12</v>
      </c>
      <c r="AR84" s="3">
        <f t="shared" si="17"/>
        <v>1919.6</v>
      </c>
      <c r="AS84" s="10"/>
      <c r="AT84" s="9">
        <f t="shared" si="18"/>
        <v>1919.6</v>
      </c>
      <c r="AU84" s="9">
        <v>1669.68</v>
      </c>
      <c r="AV84" s="9">
        <v>30</v>
      </c>
      <c r="AW84" s="41"/>
      <c r="AX84" s="3">
        <f t="shared" si="19"/>
        <v>1699.68</v>
      </c>
    </row>
    <row r="85" spans="1:50" ht="11.25">
      <c r="A85" s="18">
        <v>80</v>
      </c>
      <c r="B85" s="23" t="s">
        <v>67</v>
      </c>
      <c r="C85" s="23" t="s">
        <v>20</v>
      </c>
      <c r="D85" s="8">
        <f>2812.5+213.1</f>
        <v>3025.6</v>
      </c>
      <c r="E85" s="9">
        <v>3025.6</v>
      </c>
      <c r="F85" s="8">
        <f>3000-213.1</f>
        <v>2786.9</v>
      </c>
      <c r="G85" s="9">
        <v>2693.8</v>
      </c>
      <c r="H85" s="8">
        <v>3048.96</v>
      </c>
      <c r="I85" s="1">
        <v>3121.4</v>
      </c>
      <c r="J85" s="5">
        <f t="shared" si="20"/>
        <v>8861.46</v>
      </c>
      <c r="K85" s="6">
        <f t="shared" si="20"/>
        <v>8840.8</v>
      </c>
      <c r="L85" s="37">
        <f t="shared" si="25"/>
        <v>20.659999999999854</v>
      </c>
      <c r="M85" s="1">
        <v>3142.5</v>
      </c>
      <c r="N85" s="1">
        <v>3057.6</v>
      </c>
      <c r="O85" s="1">
        <v>3142.5</v>
      </c>
      <c r="P85" s="1">
        <v>263.2</v>
      </c>
      <c r="Q85" s="1">
        <f t="shared" si="23"/>
        <v>3405.7</v>
      </c>
      <c r="R85" s="1">
        <v>2509.6</v>
      </c>
      <c r="S85" s="47">
        <v>3191.03</v>
      </c>
      <c r="T85" s="1">
        <v>3843.6</v>
      </c>
      <c r="U85" s="38">
        <f t="shared" si="24"/>
        <v>9739.23</v>
      </c>
      <c r="V85" s="1">
        <f t="shared" si="24"/>
        <v>9410.8</v>
      </c>
      <c r="W85" s="7">
        <f t="shared" si="22"/>
        <v>328.4300000000003</v>
      </c>
      <c r="X85" s="51">
        <v>3000</v>
      </c>
      <c r="Y85" s="50">
        <v>2969.6</v>
      </c>
      <c r="Z85" s="9">
        <v>3131.79</v>
      </c>
      <c r="AA85" s="51"/>
      <c r="AB85" s="9">
        <f t="shared" si="21"/>
        <v>3131.79</v>
      </c>
      <c r="AC85" s="50">
        <v>2995.6</v>
      </c>
      <c r="AD85" s="9">
        <v>3131.79</v>
      </c>
      <c r="AE85" s="1">
        <v>3271.4</v>
      </c>
      <c r="AF85" s="38">
        <f t="shared" si="13"/>
        <v>9263.58</v>
      </c>
      <c r="AG85" s="1">
        <f t="shared" si="13"/>
        <v>9236.6</v>
      </c>
      <c r="AH85" s="37">
        <f t="shared" si="14"/>
        <v>26.979999999999563</v>
      </c>
      <c r="AI85" s="9">
        <v>3131.79</v>
      </c>
      <c r="AJ85" s="9">
        <v>158.54</v>
      </c>
      <c r="AK85" s="9">
        <v>615.94</v>
      </c>
      <c r="AL85" s="1">
        <f t="shared" si="15"/>
        <v>3906.27</v>
      </c>
      <c r="AM85" s="58">
        <v>3886.6</v>
      </c>
      <c r="AN85" s="39">
        <f t="shared" si="16"/>
        <v>19.670000000000073</v>
      </c>
      <c r="AO85" s="9">
        <v>3131.79</v>
      </c>
      <c r="AP85" s="8">
        <v>78.52</v>
      </c>
      <c r="AQ85" s="8">
        <v>390</v>
      </c>
      <c r="AR85" s="3">
        <f t="shared" si="17"/>
        <v>3600.31</v>
      </c>
      <c r="AS85" s="10"/>
      <c r="AT85" s="9">
        <f t="shared" si="18"/>
        <v>3600.31</v>
      </c>
      <c r="AU85" s="9">
        <v>3131.79</v>
      </c>
      <c r="AV85" s="9">
        <v>53.33</v>
      </c>
      <c r="AW85" s="41"/>
      <c r="AX85" s="3">
        <f t="shared" si="19"/>
        <v>3185.12</v>
      </c>
    </row>
    <row r="86" spans="1:50" ht="11.25">
      <c r="A86" s="16">
        <v>81</v>
      </c>
      <c r="B86" s="23" t="s">
        <v>113</v>
      </c>
      <c r="C86" s="23" t="s">
        <v>21</v>
      </c>
      <c r="D86" s="8">
        <v>2250</v>
      </c>
      <c r="E86" s="9">
        <v>2208</v>
      </c>
      <c r="F86" s="8">
        <v>2400</v>
      </c>
      <c r="G86" s="9">
        <v>2247</v>
      </c>
      <c r="H86" s="8">
        <v>2437.19</v>
      </c>
      <c r="I86" s="1">
        <v>2169</v>
      </c>
      <c r="J86" s="5">
        <f t="shared" si="20"/>
        <v>7087.1900000000005</v>
      </c>
      <c r="K86" s="6">
        <f t="shared" si="20"/>
        <v>6624</v>
      </c>
      <c r="L86" s="40">
        <f t="shared" si="25"/>
        <v>463.1900000000005</v>
      </c>
      <c r="M86" s="1">
        <v>2514</v>
      </c>
      <c r="N86" s="1">
        <v>1809</v>
      </c>
      <c r="O86" s="1">
        <v>2514</v>
      </c>
      <c r="P86" s="1"/>
      <c r="Q86" s="1">
        <f t="shared" si="23"/>
        <v>2514</v>
      </c>
      <c r="R86" s="1">
        <v>2490</v>
      </c>
      <c r="S86" s="9">
        <v>2551.44</v>
      </c>
      <c r="T86" s="1">
        <v>2117.8</v>
      </c>
      <c r="U86" s="38">
        <f t="shared" si="24"/>
        <v>7579.4400000000005</v>
      </c>
      <c r="V86" s="1">
        <f t="shared" si="24"/>
        <v>6416.8</v>
      </c>
      <c r="W86" s="7">
        <f t="shared" si="22"/>
        <v>1162.6400000000003</v>
      </c>
      <c r="X86" s="51">
        <v>2400</v>
      </c>
      <c r="Y86" s="50">
        <v>1981</v>
      </c>
      <c r="Z86" s="9">
        <v>2504.52</v>
      </c>
      <c r="AA86" s="51"/>
      <c r="AB86" s="9">
        <f t="shared" si="21"/>
        <v>2504.52</v>
      </c>
      <c r="AC86" s="50">
        <v>2169</v>
      </c>
      <c r="AD86" s="9">
        <v>2504.52</v>
      </c>
      <c r="AE86" s="1">
        <v>2435</v>
      </c>
      <c r="AF86" s="38">
        <f t="shared" si="13"/>
        <v>7409.040000000001</v>
      </c>
      <c r="AG86" s="1">
        <f t="shared" si="13"/>
        <v>6585</v>
      </c>
      <c r="AH86" s="7">
        <f t="shared" si="14"/>
        <v>824.0400000000009</v>
      </c>
      <c r="AI86" s="9">
        <v>2504.52</v>
      </c>
      <c r="AJ86" s="9">
        <v>130.8</v>
      </c>
      <c r="AK86" s="9"/>
      <c r="AL86" s="1">
        <f t="shared" si="15"/>
        <v>2635.32</v>
      </c>
      <c r="AM86" s="58">
        <v>2600</v>
      </c>
      <c r="AN86" s="39">
        <f t="shared" si="16"/>
        <v>35.320000000000164</v>
      </c>
      <c r="AO86" s="9">
        <v>2504.52</v>
      </c>
      <c r="AP86" s="8">
        <v>67.2</v>
      </c>
      <c r="AQ86" s="8">
        <v>307.68</v>
      </c>
      <c r="AR86" s="3">
        <f t="shared" si="17"/>
        <v>2879.3999999999996</v>
      </c>
      <c r="AS86" s="10"/>
      <c r="AT86" s="9">
        <f t="shared" si="18"/>
        <v>2879.3999999999996</v>
      </c>
      <c r="AU86" s="9">
        <v>2504.52</v>
      </c>
      <c r="AV86" s="9">
        <v>45</v>
      </c>
      <c r="AW86" s="41"/>
      <c r="AX86" s="3">
        <f t="shared" si="19"/>
        <v>2549.52</v>
      </c>
    </row>
    <row r="87" spans="1:50" ht="11.25">
      <c r="A87" s="18">
        <v>82</v>
      </c>
      <c r="B87" s="24" t="s">
        <v>112</v>
      </c>
      <c r="C87" s="24" t="s">
        <v>21</v>
      </c>
      <c r="D87" s="8">
        <v>1500</v>
      </c>
      <c r="E87" s="9">
        <v>1431</v>
      </c>
      <c r="F87" s="8">
        <v>1600</v>
      </c>
      <c r="G87" s="9">
        <v>1577</v>
      </c>
      <c r="H87" s="8">
        <v>1624.79</v>
      </c>
      <c r="I87" s="1">
        <v>1708</v>
      </c>
      <c r="J87" s="5">
        <f t="shared" si="20"/>
        <v>4724.79</v>
      </c>
      <c r="K87" s="6">
        <f t="shared" si="20"/>
        <v>4716</v>
      </c>
      <c r="L87" s="37">
        <f t="shared" si="25"/>
        <v>8.789999999999964</v>
      </c>
      <c r="M87" s="1">
        <v>1676</v>
      </c>
      <c r="N87" s="1">
        <v>1509</v>
      </c>
      <c r="O87" s="1">
        <v>1676</v>
      </c>
      <c r="P87" s="1">
        <v>143.6</v>
      </c>
      <c r="Q87" s="1">
        <f t="shared" si="23"/>
        <v>1819.6</v>
      </c>
      <c r="R87" s="1">
        <v>1633</v>
      </c>
      <c r="S87" s="47">
        <v>1700.96</v>
      </c>
      <c r="T87" s="1">
        <v>2016</v>
      </c>
      <c r="U87" s="38">
        <f t="shared" si="24"/>
        <v>5196.5599999999995</v>
      </c>
      <c r="V87" s="1">
        <f t="shared" si="24"/>
        <v>5158</v>
      </c>
      <c r="W87" s="37">
        <f t="shared" si="22"/>
        <v>38.55999999999949</v>
      </c>
      <c r="X87" s="51">
        <v>1600</v>
      </c>
      <c r="Y87" s="50">
        <v>1539</v>
      </c>
      <c r="Z87" s="9">
        <v>1669.68</v>
      </c>
      <c r="AA87" s="51">
        <v>177.6</v>
      </c>
      <c r="AB87" s="9">
        <f t="shared" si="21"/>
        <v>1847.28</v>
      </c>
      <c r="AC87" s="50">
        <v>1514</v>
      </c>
      <c r="AD87" s="9">
        <v>1669.68</v>
      </c>
      <c r="AE87" s="1">
        <v>2062</v>
      </c>
      <c r="AF87" s="38">
        <f t="shared" si="13"/>
        <v>5116.96</v>
      </c>
      <c r="AG87" s="1">
        <f t="shared" si="13"/>
        <v>5115</v>
      </c>
      <c r="AH87" s="37">
        <f t="shared" si="14"/>
        <v>1.9600000000000364</v>
      </c>
      <c r="AI87" s="9">
        <v>1669.68</v>
      </c>
      <c r="AJ87" s="9">
        <v>87.2</v>
      </c>
      <c r="AK87" s="9">
        <v>327.6</v>
      </c>
      <c r="AL87" s="1">
        <f t="shared" si="15"/>
        <v>2084.48</v>
      </c>
      <c r="AM87" s="58">
        <v>2039</v>
      </c>
      <c r="AN87" s="9">
        <f t="shared" si="16"/>
        <v>45.48000000000002</v>
      </c>
      <c r="AO87" s="9">
        <v>1669.68</v>
      </c>
      <c r="AP87" s="8">
        <v>44.8</v>
      </c>
      <c r="AQ87" s="8"/>
      <c r="AR87" s="3">
        <f t="shared" si="17"/>
        <v>1714.48</v>
      </c>
      <c r="AS87" s="10"/>
      <c r="AT87" s="9">
        <f t="shared" si="18"/>
        <v>1714.48</v>
      </c>
      <c r="AU87" s="9">
        <v>1669.68</v>
      </c>
      <c r="AV87" s="9">
        <v>30</v>
      </c>
      <c r="AW87" s="41"/>
      <c r="AX87" s="3">
        <f t="shared" si="19"/>
        <v>1699.68</v>
      </c>
    </row>
    <row r="88" spans="1:50" ht="11.25">
      <c r="A88" s="16">
        <v>83</v>
      </c>
      <c r="B88" s="24" t="s">
        <v>68</v>
      </c>
      <c r="C88" s="24" t="s">
        <v>21</v>
      </c>
      <c r="D88" s="8">
        <v>1500</v>
      </c>
      <c r="E88" s="9">
        <v>1449</v>
      </c>
      <c r="F88" s="8">
        <v>1600</v>
      </c>
      <c r="G88" s="9">
        <v>1582</v>
      </c>
      <c r="H88" s="8">
        <v>1624.79</v>
      </c>
      <c r="I88" s="1">
        <v>1637</v>
      </c>
      <c r="J88" s="5">
        <f t="shared" si="20"/>
        <v>4724.79</v>
      </c>
      <c r="K88" s="6">
        <f t="shared" si="20"/>
        <v>4668</v>
      </c>
      <c r="L88" s="40">
        <f t="shared" si="25"/>
        <v>56.789999999999964</v>
      </c>
      <c r="M88" s="1">
        <v>1676</v>
      </c>
      <c r="N88" s="1">
        <v>1625</v>
      </c>
      <c r="O88" s="1">
        <v>1676</v>
      </c>
      <c r="P88" s="1"/>
      <c r="Q88" s="1">
        <f t="shared" si="23"/>
        <v>1676</v>
      </c>
      <c r="R88" s="1">
        <v>1566</v>
      </c>
      <c r="S88" s="9">
        <v>1700.96</v>
      </c>
      <c r="T88" s="1">
        <v>1825</v>
      </c>
      <c r="U88" s="38">
        <f t="shared" si="24"/>
        <v>5052.96</v>
      </c>
      <c r="V88" s="1">
        <f t="shared" si="24"/>
        <v>5016</v>
      </c>
      <c r="W88" s="37">
        <f t="shared" si="22"/>
        <v>36.960000000000036</v>
      </c>
      <c r="X88" s="51">
        <v>1600</v>
      </c>
      <c r="Y88" s="50">
        <v>1527</v>
      </c>
      <c r="Z88" s="9">
        <v>1669.68</v>
      </c>
      <c r="AA88" s="51">
        <v>177.6</v>
      </c>
      <c r="AB88" s="9">
        <f t="shared" si="21"/>
        <v>1847.28</v>
      </c>
      <c r="AC88" s="50">
        <v>1770</v>
      </c>
      <c r="AD88" s="9">
        <v>1669.68</v>
      </c>
      <c r="AE88" s="1">
        <v>1543</v>
      </c>
      <c r="AF88" s="38">
        <f t="shared" si="13"/>
        <v>5116.96</v>
      </c>
      <c r="AG88" s="1">
        <f t="shared" si="13"/>
        <v>4840</v>
      </c>
      <c r="AH88" s="7">
        <f t="shared" si="14"/>
        <v>276.96000000000004</v>
      </c>
      <c r="AI88" s="9">
        <v>1669.68</v>
      </c>
      <c r="AJ88" s="9">
        <v>87.2</v>
      </c>
      <c r="AK88" s="9"/>
      <c r="AL88" s="1">
        <f t="shared" si="15"/>
        <v>1756.88</v>
      </c>
      <c r="AM88" s="58">
        <v>1754</v>
      </c>
      <c r="AN88" s="39">
        <f t="shared" si="16"/>
        <v>2.880000000000109</v>
      </c>
      <c r="AO88" s="9">
        <v>1669.68</v>
      </c>
      <c r="AP88" s="8">
        <v>44.8</v>
      </c>
      <c r="AQ88" s="8">
        <v>205.12</v>
      </c>
      <c r="AR88" s="3">
        <f t="shared" si="17"/>
        <v>1919.6</v>
      </c>
      <c r="AS88" s="10"/>
      <c r="AT88" s="9">
        <f t="shared" si="18"/>
        <v>1919.6</v>
      </c>
      <c r="AU88" s="9">
        <v>1669.68</v>
      </c>
      <c r="AV88" s="9">
        <v>30</v>
      </c>
      <c r="AW88" s="41"/>
      <c r="AX88" s="3">
        <f t="shared" si="19"/>
        <v>1699.68</v>
      </c>
    </row>
    <row r="89" spans="1:50" ht="11.25">
      <c r="A89" s="18">
        <v>84</v>
      </c>
      <c r="B89" s="23" t="s">
        <v>102</v>
      </c>
      <c r="C89" s="23" t="s">
        <v>21</v>
      </c>
      <c r="D89" s="8">
        <v>2250</v>
      </c>
      <c r="E89" s="9">
        <v>2221</v>
      </c>
      <c r="F89" s="8">
        <v>2400</v>
      </c>
      <c r="G89" s="9">
        <v>2386</v>
      </c>
      <c r="H89" s="8">
        <v>2437.19</v>
      </c>
      <c r="I89" s="1">
        <v>2479.8</v>
      </c>
      <c r="J89" s="5">
        <f t="shared" si="20"/>
        <v>7087.1900000000005</v>
      </c>
      <c r="K89" s="6">
        <f t="shared" si="20"/>
        <v>7086.8</v>
      </c>
      <c r="L89" s="37">
        <f t="shared" si="25"/>
        <v>0.3900000000003274</v>
      </c>
      <c r="M89" s="1">
        <v>2514</v>
      </c>
      <c r="N89" s="1">
        <v>2363</v>
      </c>
      <c r="O89" s="1">
        <v>2514</v>
      </c>
      <c r="P89" s="1">
        <v>215.4</v>
      </c>
      <c r="Q89" s="1">
        <f t="shared" si="23"/>
        <v>2729.4</v>
      </c>
      <c r="R89" s="1">
        <v>2661</v>
      </c>
      <c r="S89" s="47">
        <v>2551.44</v>
      </c>
      <c r="T89" s="1">
        <v>2722.4</v>
      </c>
      <c r="U89" s="38">
        <f t="shared" si="24"/>
        <v>7794.84</v>
      </c>
      <c r="V89" s="1">
        <f t="shared" si="24"/>
        <v>7746.4</v>
      </c>
      <c r="W89" s="7">
        <f t="shared" si="22"/>
        <v>48.44000000000051</v>
      </c>
      <c r="X89" s="51">
        <v>2400</v>
      </c>
      <c r="Y89" s="50">
        <v>2338.6</v>
      </c>
      <c r="Z89" s="9">
        <v>2504.52</v>
      </c>
      <c r="AA89" s="51"/>
      <c r="AB89" s="9">
        <f t="shared" si="21"/>
        <v>2504.52</v>
      </c>
      <c r="AC89" s="50">
        <v>2495</v>
      </c>
      <c r="AD89" s="9">
        <v>2504.52</v>
      </c>
      <c r="AE89" s="1">
        <v>2565</v>
      </c>
      <c r="AF89" s="38">
        <f t="shared" si="13"/>
        <v>7409.040000000001</v>
      </c>
      <c r="AG89" s="1">
        <f t="shared" si="13"/>
        <v>7398.6</v>
      </c>
      <c r="AH89" s="37">
        <f t="shared" si="14"/>
        <v>10.44000000000051</v>
      </c>
      <c r="AI89" s="9">
        <v>2504.52</v>
      </c>
      <c r="AJ89" s="9">
        <v>130.8</v>
      </c>
      <c r="AK89" s="9">
        <v>491.4</v>
      </c>
      <c r="AL89" s="1">
        <f t="shared" si="15"/>
        <v>3126.7200000000003</v>
      </c>
      <c r="AM89" s="58">
        <v>3118.8</v>
      </c>
      <c r="AN89" s="39">
        <f t="shared" si="16"/>
        <v>7.920000000000073</v>
      </c>
      <c r="AO89" s="9">
        <v>2504.52</v>
      </c>
      <c r="AP89" s="8">
        <v>67.2</v>
      </c>
      <c r="AQ89" s="8">
        <v>307.68</v>
      </c>
      <c r="AR89" s="3">
        <f t="shared" si="17"/>
        <v>2879.3999999999996</v>
      </c>
      <c r="AS89" s="10"/>
      <c r="AT89" s="9">
        <f t="shared" si="18"/>
        <v>2879.3999999999996</v>
      </c>
      <c r="AU89" s="9">
        <v>2504.52</v>
      </c>
      <c r="AV89" s="9">
        <v>45</v>
      </c>
      <c r="AW89" s="41"/>
      <c r="AX89" s="3">
        <f t="shared" si="19"/>
        <v>2549.52</v>
      </c>
    </row>
    <row r="90" spans="1:50" ht="11.25">
      <c r="A90" s="16">
        <v>85</v>
      </c>
      <c r="B90" s="24" t="s">
        <v>69</v>
      </c>
      <c r="C90" s="24" t="s">
        <v>23</v>
      </c>
      <c r="D90" s="8">
        <f>2250+90</f>
        <v>2340</v>
      </c>
      <c r="E90" s="9">
        <v>2340</v>
      </c>
      <c r="F90" s="8">
        <f>2400-90+124</f>
        <v>2434</v>
      </c>
      <c r="G90" s="9">
        <v>2434</v>
      </c>
      <c r="H90" s="8">
        <f>2437.18-124</f>
        <v>2313.18</v>
      </c>
      <c r="I90" s="1">
        <v>2287</v>
      </c>
      <c r="J90" s="5">
        <f t="shared" si="20"/>
        <v>7087.18</v>
      </c>
      <c r="K90" s="6">
        <f t="shared" si="20"/>
        <v>7061</v>
      </c>
      <c r="L90" s="37">
        <f t="shared" si="25"/>
        <v>26.18000000000029</v>
      </c>
      <c r="M90" s="1">
        <f>2514+46</f>
        <v>2560</v>
      </c>
      <c r="N90" s="1">
        <v>2560</v>
      </c>
      <c r="O90" s="1">
        <v>2514</v>
      </c>
      <c r="P90" s="1">
        <v>215.4</v>
      </c>
      <c r="Q90" s="1">
        <f>O90+P90-46</f>
        <v>2683.4</v>
      </c>
      <c r="R90" s="1">
        <v>2503.8</v>
      </c>
      <c r="S90" s="9">
        <v>2551.44</v>
      </c>
      <c r="T90" s="1">
        <v>2502</v>
      </c>
      <c r="U90" s="38">
        <f t="shared" si="24"/>
        <v>7794.84</v>
      </c>
      <c r="V90" s="1">
        <f t="shared" si="24"/>
        <v>7565.8</v>
      </c>
      <c r="W90" s="7">
        <f t="shared" si="22"/>
        <v>229.03999999999996</v>
      </c>
      <c r="X90" s="51">
        <f>2400+166</f>
        <v>2566</v>
      </c>
      <c r="Y90" s="50">
        <v>2566</v>
      </c>
      <c r="Z90" s="9">
        <f>2504.52-166</f>
        <v>2338.52</v>
      </c>
      <c r="AA90" s="51"/>
      <c r="AB90" s="9">
        <f>Z90+AA90+189.48</f>
        <v>2528</v>
      </c>
      <c r="AC90" s="50">
        <v>2528</v>
      </c>
      <c r="AD90" s="9">
        <f>2504.52-189.48</f>
        <v>2315.04</v>
      </c>
      <c r="AE90" s="1">
        <v>2060</v>
      </c>
      <c r="AF90" s="38">
        <f t="shared" si="13"/>
        <v>7409.04</v>
      </c>
      <c r="AG90" s="1">
        <f t="shared" si="13"/>
        <v>7154</v>
      </c>
      <c r="AH90" s="7">
        <f t="shared" si="14"/>
        <v>255.03999999999996</v>
      </c>
      <c r="AI90" s="9">
        <v>2504.52</v>
      </c>
      <c r="AJ90" s="9">
        <v>130.8</v>
      </c>
      <c r="AK90" s="9"/>
      <c r="AL90" s="1">
        <f t="shared" si="15"/>
        <v>2635.32</v>
      </c>
      <c r="AM90" s="58">
        <v>2528</v>
      </c>
      <c r="AN90" s="9">
        <f t="shared" si="16"/>
        <v>107.32000000000016</v>
      </c>
      <c r="AO90" s="9">
        <v>2504.52</v>
      </c>
      <c r="AP90" s="8">
        <v>67.2</v>
      </c>
      <c r="AQ90" s="8"/>
      <c r="AR90" s="3">
        <f t="shared" si="17"/>
        <v>2571.72</v>
      </c>
      <c r="AS90" s="10"/>
      <c r="AT90" s="9">
        <f t="shared" si="18"/>
        <v>2571.72</v>
      </c>
      <c r="AU90" s="9">
        <v>2504.52</v>
      </c>
      <c r="AV90" s="9">
        <v>45</v>
      </c>
      <c r="AW90" s="41"/>
      <c r="AX90" s="3">
        <f t="shared" si="19"/>
        <v>2549.52</v>
      </c>
    </row>
    <row r="91" spans="1:50" ht="11.25">
      <c r="A91" s="18">
        <v>86</v>
      </c>
      <c r="B91" s="24" t="s">
        <v>95</v>
      </c>
      <c r="C91" s="24" t="s">
        <v>23</v>
      </c>
      <c r="D91" s="8">
        <f>2250+6</f>
        <v>2256</v>
      </c>
      <c r="E91" s="9">
        <v>2256</v>
      </c>
      <c r="F91" s="8">
        <f>2400-6</f>
        <v>2394</v>
      </c>
      <c r="G91" s="9">
        <v>188</v>
      </c>
      <c r="H91" s="8">
        <v>2437.18</v>
      </c>
      <c r="I91" s="1">
        <v>4643</v>
      </c>
      <c r="J91" s="5">
        <f t="shared" si="20"/>
        <v>7087.18</v>
      </c>
      <c r="K91" s="6">
        <f t="shared" si="20"/>
        <v>7087</v>
      </c>
      <c r="L91" s="37">
        <f t="shared" si="25"/>
        <v>0.18000000000029104</v>
      </c>
      <c r="M91" s="1">
        <v>2514</v>
      </c>
      <c r="N91" s="1">
        <v>2510</v>
      </c>
      <c r="O91" s="1">
        <v>2514</v>
      </c>
      <c r="P91" s="1">
        <v>215.4</v>
      </c>
      <c r="Q91" s="1">
        <f t="shared" si="23"/>
        <v>2729.4</v>
      </c>
      <c r="R91" s="1">
        <v>564</v>
      </c>
      <c r="S91" s="47">
        <v>2551.44</v>
      </c>
      <c r="T91" s="1">
        <v>3450</v>
      </c>
      <c r="U91" s="38">
        <f t="shared" si="24"/>
        <v>7794.84</v>
      </c>
      <c r="V91" s="1">
        <f t="shared" si="24"/>
        <v>6524</v>
      </c>
      <c r="W91" s="7">
        <f t="shared" si="22"/>
        <v>1270.8400000000001</v>
      </c>
      <c r="X91" s="51">
        <f>2400+58</f>
        <v>2458</v>
      </c>
      <c r="Y91" s="50">
        <v>2458</v>
      </c>
      <c r="Z91" s="9">
        <f>2504.52-58</f>
        <v>2446.52</v>
      </c>
      <c r="AA91" s="51"/>
      <c r="AB91" s="9">
        <f t="shared" si="21"/>
        <v>2446.52</v>
      </c>
      <c r="AC91" s="50">
        <v>0</v>
      </c>
      <c r="AD91" s="9">
        <v>2504.52</v>
      </c>
      <c r="AE91" s="1">
        <v>3329</v>
      </c>
      <c r="AF91" s="38">
        <f t="shared" si="13"/>
        <v>7409.040000000001</v>
      </c>
      <c r="AG91" s="1">
        <f t="shared" si="13"/>
        <v>5787</v>
      </c>
      <c r="AH91" s="7">
        <f t="shared" si="14"/>
        <v>1622.0400000000009</v>
      </c>
      <c r="AI91" s="9">
        <v>2504.52</v>
      </c>
      <c r="AJ91" s="9">
        <v>130.8</v>
      </c>
      <c r="AK91" s="9"/>
      <c r="AL91" s="1">
        <f t="shared" si="15"/>
        <v>2635.32</v>
      </c>
      <c r="AM91" s="58">
        <v>2503</v>
      </c>
      <c r="AN91" s="9">
        <f t="shared" si="16"/>
        <v>132.32000000000016</v>
      </c>
      <c r="AO91" s="9">
        <v>2504.52</v>
      </c>
      <c r="AP91" s="8">
        <v>67.2</v>
      </c>
      <c r="AQ91" s="8"/>
      <c r="AR91" s="3">
        <f t="shared" si="17"/>
        <v>2571.72</v>
      </c>
      <c r="AS91" s="10"/>
      <c r="AT91" s="9">
        <f t="shared" si="18"/>
        <v>2571.72</v>
      </c>
      <c r="AU91" s="9">
        <v>2504.52</v>
      </c>
      <c r="AV91" s="9">
        <v>45</v>
      </c>
      <c r="AW91" s="41"/>
      <c r="AX91" s="3">
        <f t="shared" si="19"/>
        <v>2549.52</v>
      </c>
    </row>
    <row r="92" spans="1:50" ht="11.25">
      <c r="A92" s="16">
        <v>87</v>
      </c>
      <c r="B92" s="24" t="s">
        <v>124</v>
      </c>
      <c r="C92" s="24" t="s">
        <v>21</v>
      </c>
      <c r="D92" s="8">
        <v>1500</v>
      </c>
      <c r="E92" s="9">
        <v>1455</v>
      </c>
      <c r="F92" s="8">
        <f>1600+15</f>
        <v>1615</v>
      </c>
      <c r="G92" s="9">
        <v>1615</v>
      </c>
      <c r="H92" s="8">
        <f>1624.79-15</f>
        <v>1609.79</v>
      </c>
      <c r="I92" s="1">
        <v>1621</v>
      </c>
      <c r="J92" s="5">
        <f t="shared" si="20"/>
        <v>4724.79</v>
      </c>
      <c r="K92" s="6">
        <f t="shared" si="20"/>
        <v>4691</v>
      </c>
      <c r="L92" s="37">
        <f t="shared" si="25"/>
        <v>33.789999999999964</v>
      </c>
      <c r="M92" s="1">
        <v>1676</v>
      </c>
      <c r="N92" s="1">
        <v>1652</v>
      </c>
      <c r="O92" s="1">
        <v>1676</v>
      </c>
      <c r="P92" s="1">
        <v>143.6</v>
      </c>
      <c r="Q92" s="1">
        <f t="shared" si="23"/>
        <v>1819.6</v>
      </c>
      <c r="R92" s="1">
        <v>1659</v>
      </c>
      <c r="S92" s="9">
        <v>1700.96</v>
      </c>
      <c r="T92" s="1">
        <v>1885</v>
      </c>
      <c r="U92" s="38">
        <f t="shared" si="24"/>
        <v>5196.5599999999995</v>
      </c>
      <c r="V92" s="1">
        <f t="shared" si="24"/>
        <v>5196</v>
      </c>
      <c r="W92" s="37">
        <f t="shared" si="22"/>
        <v>0.5599999999994907</v>
      </c>
      <c r="X92" s="51">
        <f>1600+93</f>
        <v>1693</v>
      </c>
      <c r="Y92" s="50">
        <v>1693</v>
      </c>
      <c r="Z92" s="9">
        <f>1669.68-93</f>
        <v>1576.68</v>
      </c>
      <c r="AA92" s="51">
        <v>177.6</v>
      </c>
      <c r="AB92" s="9">
        <f t="shared" si="21"/>
        <v>1754.28</v>
      </c>
      <c r="AC92" s="50">
        <v>716</v>
      </c>
      <c r="AD92" s="9">
        <v>1669.68</v>
      </c>
      <c r="AE92" s="1">
        <v>715</v>
      </c>
      <c r="AF92" s="38">
        <f t="shared" si="13"/>
        <v>5116.96</v>
      </c>
      <c r="AG92" s="1">
        <f t="shared" si="13"/>
        <v>3124</v>
      </c>
      <c r="AH92" s="7">
        <f t="shared" si="14"/>
        <v>1992.96</v>
      </c>
      <c r="AI92" s="9">
        <v>1669.68</v>
      </c>
      <c r="AJ92" s="9">
        <v>87.2</v>
      </c>
      <c r="AK92" s="9"/>
      <c r="AL92" s="1">
        <f t="shared" si="15"/>
        <v>1756.88</v>
      </c>
      <c r="AM92" s="58">
        <v>1185</v>
      </c>
      <c r="AN92" s="9">
        <f t="shared" si="16"/>
        <v>571.8800000000001</v>
      </c>
      <c r="AO92" s="9">
        <v>1669.68</v>
      </c>
      <c r="AP92" s="8">
        <v>44.8</v>
      </c>
      <c r="AQ92" s="8"/>
      <c r="AR92" s="3">
        <f t="shared" si="17"/>
        <v>1714.48</v>
      </c>
      <c r="AS92" s="10"/>
      <c r="AT92" s="9">
        <f t="shared" si="18"/>
        <v>1714.48</v>
      </c>
      <c r="AU92" s="9">
        <v>1669.68</v>
      </c>
      <c r="AV92" s="9">
        <v>30</v>
      </c>
      <c r="AW92" s="41"/>
      <c r="AX92" s="3">
        <f t="shared" si="19"/>
        <v>1699.68</v>
      </c>
    </row>
    <row r="93" spans="1:50" ht="11.25">
      <c r="A93" s="18">
        <v>88</v>
      </c>
      <c r="B93" s="24" t="s">
        <v>123</v>
      </c>
      <c r="C93" s="24" t="s">
        <v>21</v>
      </c>
      <c r="D93" s="8">
        <v>1500</v>
      </c>
      <c r="E93" s="9">
        <v>1018</v>
      </c>
      <c r="F93" s="8">
        <f>1600+79</f>
        <v>1679</v>
      </c>
      <c r="G93" s="9">
        <v>1679</v>
      </c>
      <c r="H93" s="8">
        <f>1624.79-79</f>
        <v>1545.79</v>
      </c>
      <c r="I93" s="1">
        <v>1949</v>
      </c>
      <c r="J93" s="5">
        <f t="shared" si="20"/>
        <v>4724.79</v>
      </c>
      <c r="K93" s="6">
        <f t="shared" si="20"/>
        <v>4646</v>
      </c>
      <c r="L93" s="40">
        <f t="shared" si="25"/>
        <v>78.78999999999996</v>
      </c>
      <c r="M93" s="1">
        <v>1676</v>
      </c>
      <c r="N93" s="1">
        <v>0</v>
      </c>
      <c r="O93" s="1">
        <v>1676</v>
      </c>
      <c r="P93" s="1"/>
      <c r="Q93" s="1">
        <f>O93+P93+149</f>
        <v>1825</v>
      </c>
      <c r="R93" s="1">
        <v>1825</v>
      </c>
      <c r="S93" s="47">
        <f>1700.96-149</f>
        <v>1551.96</v>
      </c>
      <c r="T93" s="1">
        <v>3195</v>
      </c>
      <c r="U93" s="38">
        <f t="shared" si="24"/>
        <v>5052.96</v>
      </c>
      <c r="V93" s="1">
        <f t="shared" si="24"/>
        <v>5020</v>
      </c>
      <c r="W93" s="37">
        <f t="shared" si="22"/>
        <v>32.960000000000036</v>
      </c>
      <c r="X93" s="51">
        <f>1600+116</f>
        <v>1716</v>
      </c>
      <c r="Y93" s="50">
        <v>1716</v>
      </c>
      <c r="Z93" s="9">
        <f>1669.68-116</f>
        <v>1553.68</v>
      </c>
      <c r="AA93" s="51">
        <v>177.6</v>
      </c>
      <c r="AB93" s="9">
        <f t="shared" si="21"/>
        <v>1731.28</v>
      </c>
      <c r="AC93" s="50">
        <v>1730</v>
      </c>
      <c r="AD93" s="9">
        <v>1669.68</v>
      </c>
      <c r="AE93" s="1">
        <v>1646</v>
      </c>
      <c r="AF93" s="38">
        <f t="shared" si="13"/>
        <v>5116.96</v>
      </c>
      <c r="AG93" s="1">
        <f t="shared" si="13"/>
        <v>5092</v>
      </c>
      <c r="AH93" s="37">
        <f t="shared" si="14"/>
        <v>24.960000000000036</v>
      </c>
      <c r="AI93" s="9">
        <v>1669.68</v>
      </c>
      <c r="AJ93" s="9">
        <v>87.2</v>
      </c>
      <c r="AK93" s="9">
        <v>327.6</v>
      </c>
      <c r="AL93" s="1">
        <f t="shared" si="15"/>
        <v>2084.48</v>
      </c>
      <c r="AM93" s="58">
        <v>1717</v>
      </c>
      <c r="AN93" s="9">
        <f t="shared" si="16"/>
        <v>367.48</v>
      </c>
      <c r="AO93" s="9">
        <v>1669.68</v>
      </c>
      <c r="AP93" s="8">
        <v>44.8</v>
      </c>
      <c r="AQ93" s="8"/>
      <c r="AR93" s="3">
        <f t="shared" si="17"/>
        <v>1714.48</v>
      </c>
      <c r="AS93" s="10"/>
      <c r="AT93" s="9">
        <f t="shared" si="18"/>
        <v>1714.48</v>
      </c>
      <c r="AU93" s="9">
        <v>1669.68</v>
      </c>
      <c r="AV93" s="9">
        <v>30</v>
      </c>
      <c r="AW93" s="41"/>
      <c r="AX93" s="3">
        <f t="shared" si="19"/>
        <v>1699.68</v>
      </c>
    </row>
    <row r="94" spans="1:50" ht="11.25">
      <c r="A94" s="16">
        <v>89</v>
      </c>
      <c r="B94" s="56" t="s">
        <v>143</v>
      </c>
      <c r="C94" s="56" t="s">
        <v>21</v>
      </c>
      <c r="D94" s="8"/>
      <c r="E94" s="9"/>
      <c r="F94" s="8"/>
      <c r="G94" s="9"/>
      <c r="H94" s="8"/>
      <c r="I94" s="1"/>
      <c r="J94" s="5"/>
      <c r="K94" s="6"/>
      <c r="L94" s="40"/>
      <c r="M94" s="1"/>
      <c r="N94" s="1"/>
      <c r="O94" s="1"/>
      <c r="P94" s="1"/>
      <c r="Q94" s="1"/>
      <c r="R94" s="1"/>
      <c r="S94" s="9"/>
      <c r="T94" s="1"/>
      <c r="U94" s="38"/>
      <c r="V94" s="1"/>
      <c r="W94" s="37"/>
      <c r="X94" s="51"/>
      <c r="Y94" s="50"/>
      <c r="Z94" s="9">
        <v>2504.52</v>
      </c>
      <c r="AA94" s="51"/>
      <c r="AB94" s="9">
        <f t="shared" si="21"/>
        <v>2504.52</v>
      </c>
      <c r="AC94" s="50">
        <v>2366.6</v>
      </c>
      <c r="AD94" s="9">
        <v>2504.52</v>
      </c>
      <c r="AE94" s="1">
        <v>2181.4</v>
      </c>
      <c r="AF94" s="38">
        <f t="shared" si="13"/>
        <v>5009.04</v>
      </c>
      <c r="AG94" s="1">
        <f t="shared" si="13"/>
        <v>4548</v>
      </c>
      <c r="AH94" s="7">
        <f t="shared" si="14"/>
        <v>461.03999999999996</v>
      </c>
      <c r="AI94" s="9">
        <v>2504.52</v>
      </c>
      <c r="AJ94" s="9">
        <v>130.8</v>
      </c>
      <c r="AK94" s="9"/>
      <c r="AL94" s="1">
        <f t="shared" si="15"/>
        <v>2635.32</v>
      </c>
      <c r="AM94" s="58">
        <v>2557</v>
      </c>
      <c r="AN94" s="9">
        <f t="shared" si="16"/>
        <v>78.32000000000016</v>
      </c>
      <c r="AO94" s="9">
        <v>2504.52</v>
      </c>
      <c r="AP94" s="8">
        <v>67.2</v>
      </c>
      <c r="AQ94" s="8"/>
      <c r="AR94" s="3">
        <f t="shared" si="17"/>
        <v>2571.72</v>
      </c>
      <c r="AS94" s="10"/>
      <c r="AT94" s="9">
        <f t="shared" si="18"/>
        <v>2571.72</v>
      </c>
      <c r="AU94" s="9">
        <v>2504.52</v>
      </c>
      <c r="AV94" s="9">
        <v>45</v>
      </c>
      <c r="AW94" s="41"/>
      <c r="AX94" s="3">
        <f t="shared" si="19"/>
        <v>2549.52</v>
      </c>
    </row>
    <row r="95" spans="1:50" ht="11.25">
      <c r="A95" s="18">
        <v>90</v>
      </c>
      <c r="B95" s="19" t="s">
        <v>45</v>
      </c>
      <c r="C95" s="19" t="s">
        <v>21</v>
      </c>
      <c r="D95" s="8">
        <f>1500+30</f>
        <v>1530</v>
      </c>
      <c r="E95" s="9">
        <v>1530</v>
      </c>
      <c r="F95" s="8">
        <f>1600-30+2</f>
        <v>1572</v>
      </c>
      <c r="G95" s="9">
        <v>1572</v>
      </c>
      <c r="H95" s="8">
        <f>1624.79-2</f>
        <v>1622.79</v>
      </c>
      <c r="I95" s="1">
        <v>1530</v>
      </c>
      <c r="J95" s="5">
        <f t="shared" si="20"/>
        <v>4724.79</v>
      </c>
      <c r="K95" s="6">
        <f t="shared" si="20"/>
        <v>4632</v>
      </c>
      <c r="L95" s="40">
        <f t="shared" si="25"/>
        <v>92.78999999999996</v>
      </c>
      <c r="M95" s="1">
        <v>1676</v>
      </c>
      <c r="N95" s="1">
        <v>1632</v>
      </c>
      <c r="O95" s="1">
        <v>1676</v>
      </c>
      <c r="P95" s="1"/>
      <c r="Q95" s="1">
        <f t="shared" si="23"/>
        <v>1676</v>
      </c>
      <c r="R95" s="1">
        <v>1553.4</v>
      </c>
      <c r="S95" s="9">
        <v>1700.96</v>
      </c>
      <c r="T95" s="1">
        <v>1530</v>
      </c>
      <c r="U95" s="38">
        <f t="shared" si="24"/>
        <v>5052.96</v>
      </c>
      <c r="V95" s="1">
        <f t="shared" si="24"/>
        <v>4715.4</v>
      </c>
      <c r="W95" s="7">
        <f t="shared" si="22"/>
        <v>337.5600000000004</v>
      </c>
      <c r="X95" s="51">
        <v>1600</v>
      </c>
      <c r="Y95" s="50">
        <v>1530</v>
      </c>
      <c r="Z95" s="9">
        <v>1669.68</v>
      </c>
      <c r="AA95" s="51"/>
      <c r="AB95" s="9">
        <f t="shared" si="21"/>
        <v>1669.68</v>
      </c>
      <c r="AC95" s="50">
        <v>0</v>
      </c>
      <c r="AD95" s="9">
        <v>1669.68</v>
      </c>
      <c r="AE95" s="1">
        <v>3060</v>
      </c>
      <c r="AF95" s="38">
        <f t="shared" si="13"/>
        <v>4939.360000000001</v>
      </c>
      <c r="AG95" s="1">
        <f t="shared" si="13"/>
        <v>4590</v>
      </c>
      <c r="AH95" s="7">
        <f t="shared" si="14"/>
        <v>349.3600000000006</v>
      </c>
      <c r="AI95" s="9">
        <v>1669.68</v>
      </c>
      <c r="AJ95" s="9">
        <v>87.2</v>
      </c>
      <c r="AK95" s="9"/>
      <c r="AL95" s="1">
        <f t="shared" si="15"/>
        <v>1756.88</v>
      </c>
      <c r="AM95" s="58">
        <v>1530</v>
      </c>
      <c r="AN95" s="9">
        <f t="shared" si="16"/>
        <v>226.8800000000001</v>
      </c>
      <c r="AO95" s="9">
        <v>1669.68</v>
      </c>
      <c r="AP95" s="8">
        <v>44.8</v>
      </c>
      <c r="AQ95" s="8"/>
      <c r="AR95" s="3">
        <f t="shared" si="17"/>
        <v>1714.48</v>
      </c>
      <c r="AS95" s="10"/>
      <c r="AT95" s="9">
        <f t="shared" si="18"/>
        <v>1714.48</v>
      </c>
      <c r="AU95" s="9">
        <v>1669.68</v>
      </c>
      <c r="AV95" s="9">
        <v>30</v>
      </c>
      <c r="AW95" s="41"/>
      <c r="AX95" s="3">
        <f t="shared" si="19"/>
        <v>1699.68</v>
      </c>
    </row>
    <row r="96" spans="1:50" ht="11.25">
      <c r="A96" s="16">
        <v>91</v>
      </c>
      <c r="B96" s="23" t="s">
        <v>89</v>
      </c>
      <c r="C96" s="23" t="s">
        <v>21</v>
      </c>
      <c r="D96" s="8">
        <v>2250</v>
      </c>
      <c r="E96" s="9">
        <v>2180</v>
      </c>
      <c r="F96" s="8">
        <f>2400+15.8</f>
        <v>2415.8</v>
      </c>
      <c r="G96" s="9">
        <v>2415.8</v>
      </c>
      <c r="H96" s="8">
        <f>2437.19-15.8</f>
        <v>2421.39</v>
      </c>
      <c r="I96" s="1">
        <v>2449</v>
      </c>
      <c r="J96" s="5">
        <f t="shared" si="20"/>
        <v>7087.1900000000005</v>
      </c>
      <c r="K96" s="6">
        <f t="shared" si="20"/>
        <v>7044.8</v>
      </c>
      <c r="L96" s="40">
        <f t="shared" si="25"/>
        <v>42.39000000000033</v>
      </c>
      <c r="M96" s="1">
        <f>2514+13.2</f>
        <v>2527.2</v>
      </c>
      <c r="N96" s="1">
        <v>2527.2</v>
      </c>
      <c r="O96" s="1">
        <v>2514</v>
      </c>
      <c r="P96" s="1"/>
      <c r="Q96" s="1">
        <f>O96+P96-13.2+47.4</f>
        <v>2548.2000000000003</v>
      </c>
      <c r="R96" s="1">
        <v>2548.2</v>
      </c>
      <c r="S96" s="47">
        <f>2551.44-47.4</f>
        <v>2504.04</v>
      </c>
      <c r="T96" s="1">
        <v>2483</v>
      </c>
      <c r="U96" s="38">
        <f t="shared" si="24"/>
        <v>7579.44</v>
      </c>
      <c r="V96" s="1">
        <f t="shared" si="24"/>
        <v>7558.4</v>
      </c>
      <c r="W96" s="37">
        <f t="shared" si="22"/>
        <v>21.039999999999964</v>
      </c>
      <c r="X96" s="51">
        <v>2400</v>
      </c>
      <c r="Y96" s="50">
        <v>0</v>
      </c>
      <c r="Z96" s="9">
        <v>2504.52</v>
      </c>
      <c r="AA96" s="51">
        <v>266.4</v>
      </c>
      <c r="AB96" s="9">
        <f t="shared" si="21"/>
        <v>2770.92</v>
      </c>
      <c r="AC96" s="50">
        <v>2767</v>
      </c>
      <c r="AD96" s="9">
        <v>2504.52</v>
      </c>
      <c r="AE96" s="1">
        <v>4896</v>
      </c>
      <c r="AF96" s="38">
        <f t="shared" si="13"/>
        <v>7675.4400000000005</v>
      </c>
      <c r="AG96" s="1">
        <f t="shared" si="13"/>
        <v>7663</v>
      </c>
      <c r="AH96" s="37">
        <f t="shared" si="14"/>
        <v>12.44000000000051</v>
      </c>
      <c r="AI96" s="9">
        <v>2504.52</v>
      </c>
      <c r="AJ96" s="9">
        <v>130.8</v>
      </c>
      <c r="AK96" s="9">
        <v>491.4</v>
      </c>
      <c r="AL96" s="1">
        <f t="shared" si="15"/>
        <v>3126.7200000000003</v>
      </c>
      <c r="AM96" s="58">
        <v>3089</v>
      </c>
      <c r="AN96" s="39">
        <f t="shared" si="16"/>
        <v>37.720000000000255</v>
      </c>
      <c r="AO96" s="9">
        <v>2504.52</v>
      </c>
      <c r="AP96" s="8">
        <v>67.2</v>
      </c>
      <c r="AQ96" s="8">
        <v>307.68</v>
      </c>
      <c r="AR96" s="3">
        <f t="shared" si="17"/>
        <v>2879.3999999999996</v>
      </c>
      <c r="AS96" s="10"/>
      <c r="AT96" s="9">
        <f t="shared" si="18"/>
        <v>2879.3999999999996</v>
      </c>
      <c r="AU96" s="9">
        <v>2504.52</v>
      </c>
      <c r="AV96" s="9">
        <v>45</v>
      </c>
      <c r="AW96" s="41"/>
      <c r="AX96" s="3">
        <f t="shared" si="19"/>
        <v>2549.52</v>
      </c>
    </row>
    <row r="97" spans="1:50" ht="11.25">
      <c r="A97" s="18">
        <v>92</v>
      </c>
      <c r="B97" s="19" t="s">
        <v>126</v>
      </c>
      <c r="C97" s="27" t="s">
        <v>21</v>
      </c>
      <c r="D97" s="8">
        <f>1500+143</f>
        <v>1643</v>
      </c>
      <c r="E97" s="9">
        <v>1643</v>
      </c>
      <c r="F97" s="8">
        <f>1600-143+112</f>
        <v>1569</v>
      </c>
      <c r="G97" s="9">
        <v>1569</v>
      </c>
      <c r="H97" s="8">
        <f>1624.79-112</f>
        <v>1512.79</v>
      </c>
      <c r="I97" s="1">
        <v>1507</v>
      </c>
      <c r="J97" s="5">
        <f t="shared" si="20"/>
        <v>4724.79</v>
      </c>
      <c r="K97" s="6">
        <f t="shared" si="20"/>
        <v>4719</v>
      </c>
      <c r="L97" s="37">
        <f t="shared" si="25"/>
        <v>5.789999999999964</v>
      </c>
      <c r="M97" s="1">
        <f>1676+158</f>
        <v>1834</v>
      </c>
      <c r="N97" s="1">
        <v>1834</v>
      </c>
      <c r="O97" s="1">
        <v>1676</v>
      </c>
      <c r="P97" s="1">
        <v>143.6</v>
      </c>
      <c r="Q97" s="1">
        <f>O97+P97-158</f>
        <v>1661.6</v>
      </c>
      <c r="R97" s="1">
        <v>1586</v>
      </c>
      <c r="S97" s="9">
        <v>1700.96</v>
      </c>
      <c r="T97" s="1">
        <v>1759</v>
      </c>
      <c r="U97" s="38">
        <f t="shared" si="24"/>
        <v>5196.5599999999995</v>
      </c>
      <c r="V97" s="1">
        <f t="shared" si="24"/>
        <v>5179</v>
      </c>
      <c r="W97" s="37">
        <f t="shared" si="22"/>
        <v>17.55999999999949</v>
      </c>
      <c r="X97" s="51">
        <f>1600+134</f>
        <v>1734</v>
      </c>
      <c r="Y97" s="50">
        <v>1734</v>
      </c>
      <c r="Z97" s="9">
        <f>1669.68-134</f>
        <v>1535.68</v>
      </c>
      <c r="AA97" s="51">
        <v>177.6</v>
      </c>
      <c r="AB97" s="9">
        <f t="shared" si="21"/>
        <v>1713.28</v>
      </c>
      <c r="AC97" s="50">
        <v>1643</v>
      </c>
      <c r="AD97" s="9">
        <v>1669.68</v>
      </c>
      <c r="AE97" s="1">
        <v>1724</v>
      </c>
      <c r="AF97" s="38">
        <f t="shared" si="13"/>
        <v>5116.96</v>
      </c>
      <c r="AG97" s="1">
        <f t="shared" si="13"/>
        <v>5101</v>
      </c>
      <c r="AH97" s="37">
        <f t="shared" si="14"/>
        <v>15.960000000000036</v>
      </c>
      <c r="AI97" s="9">
        <v>1669.68</v>
      </c>
      <c r="AJ97" s="9">
        <v>87.2</v>
      </c>
      <c r="AK97" s="9">
        <v>327.6</v>
      </c>
      <c r="AL97" s="1">
        <f t="shared" si="15"/>
        <v>2084.48</v>
      </c>
      <c r="AM97" s="58">
        <v>2079</v>
      </c>
      <c r="AN97" s="39">
        <f t="shared" si="16"/>
        <v>5.480000000000018</v>
      </c>
      <c r="AO97" s="9">
        <v>1669.68</v>
      </c>
      <c r="AP97" s="8">
        <v>44.8</v>
      </c>
      <c r="AQ97" s="8">
        <v>205.12</v>
      </c>
      <c r="AR97" s="3">
        <f t="shared" si="17"/>
        <v>1919.6</v>
      </c>
      <c r="AS97" s="10"/>
      <c r="AT97" s="9">
        <f t="shared" si="18"/>
        <v>1919.6</v>
      </c>
      <c r="AU97" s="9">
        <v>1669.68</v>
      </c>
      <c r="AV97" s="9">
        <v>30</v>
      </c>
      <c r="AW97" s="41"/>
      <c r="AX97" s="3">
        <f t="shared" si="19"/>
        <v>1699.68</v>
      </c>
    </row>
    <row r="98" spans="1:50" ht="11.25">
      <c r="A98" s="16">
        <v>93</v>
      </c>
      <c r="B98" s="19" t="s">
        <v>118</v>
      </c>
      <c r="C98" s="24" t="s">
        <v>21</v>
      </c>
      <c r="D98" s="8">
        <f>1500+122</f>
        <v>1622</v>
      </c>
      <c r="E98" s="9">
        <v>1622</v>
      </c>
      <c r="F98" s="8">
        <f>1600-122+145</f>
        <v>1623</v>
      </c>
      <c r="G98" s="9">
        <v>1623</v>
      </c>
      <c r="H98" s="8">
        <f>1624.79-145</f>
        <v>1479.79</v>
      </c>
      <c r="I98" s="1">
        <v>1452</v>
      </c>
      <c r="J98" s="5">
        <f t="shared" si="20"/>
        <v>4724.79</v>
      </c>
      <c r="K98" s="6">
        <f t="shared" si="20"/>
        <v>4697</v>
      </c>
      <c r="L98" s="37">
        <f t="shared" si="25"/>
        <v>27.789999999999964</v>
      </c>
      <c r="M98" s="1">
        <f>1676+164</f>
        <v>1840</v>
      </c>
      <c r="N98" s="1">
        <v>1840</v>
      </c>
      <c r="O98" s="1">
        <v>1676</v>
      </c>
      <c r="P98" s="1">
        <v>143.6</v>
      </c>
      <c r="Q98" s="1">
        <f>O98+P98-164</f>
        <v>1655.6</v>
      </c>
      <c r="R98" s="1">
        <v>1602</v>
      </c>
      <c r="S98" s="47">
        <v>1700.96</v>
      </c>
      <c r="T98" s="1">
        <v>1751</v>
      </c>
      <c r="U98" s="38">
        <f t="shared" si="24"/>
        <v>5196.5599999999995</v>
      </c>
      <c r="V98" s="1">
        <f t="shared" si="24"/>
        <v>5193</v>
      </c>
      <c r="W98" s="37">
        <f t="shared" si="22"/>
        <v>3.5599999999994907</v>
      </c>
      <c r="X98" s="51">
        <f>1600+104</f>
        <v>1704</v>
      </c>
      <c r="Y98" s="50">
        <v>1704</v>
      </c>
      <c r="Z98" s="9">
        <f>1669.68-104</f>
        <v>1565.68</v>
      </c>
      <c r="AA98" s="51">
        <v>177.6</v>
      </c>
      <c r="AB98" s="9">
        <f t="shared" si="21"/>
        <v>1743.28</v>
      </c>
      <c r="AC98" s="50">
        <v>1644</v>
      </c>
      <c r="AD98" s="9">
        <v>1669.68</v>
      </c>
      <c r="AE98" s="1">
        <v>1754</v>
      </c>
      <c r="AF98" s="38">
        <f t="shared" si="13"/>
        <v>5116.96</v>
      </c>
      <c r="AG98" s="1">
        <f t="shared" si="13"/>
        <v>5102</v>
      </c>
      <c r="AH98" s="37">
        <f t="shared" si="14"/>
        <v>14.960000000000036</v>
      </c>
      <c r="AI98" s="9">
        <v>1669.68</v>
      </c>
      <c r="AJ98" s="9">
        <v>87.2</v>
      </c>
      <c r="AK98" s="9">
        <v>327.6</v>
      </c>
      <c r="AL98" s="1">
        <f t="shared" si="15"/>
        <v>2084.48</v>
      </c>
      <c r="AM98" s="58">
        <v>2074</v>
      </c>
      <c r="AN98" s="39">
        <f t="shared" si="16"/>
        <v>10.480000000000018</v>
      </c>
      <c r="AO98" s="9">
        <v>1669.68</v>
      </c>
      <c r="AP98" s="8">
        <v>44.8</v>
      </c>
      <c r="AQ98" s="8">
        <v>205.12</v>
      </c>
      <c r="AR98" s="3">
        <f t="shared" si="17"/>
        <v>1919.6</v>
      </c>
      <c r="AS98" s="10"/>
      <c r="AT98" s="9">
        <f t="shared" si="18"/>
        <v>1919.6</v>
      </c>
      <c r="AU98" s="9">
        <v>1669.68</v>
      </c>
      <c r="AV98" s="9">
        <v>30</v>
      </c>
      <c r="AW98" s="41"/>
      <c r="AX98" s="3">
        <f t="shared" si="19"/>
        <v>1699.68</v>
      </c>
    </row>
    <row r="99" spans="1:50" ht="11.25">
      <c r="A99" s="18">
        <v>94</v>
      </c>
      <c r="B99" s="19" t="s">
        <v>119</v>
      </c>
      <c r="C99" s="24" t="s">
        <v>21</v>
      </c>
      <c r="D99" s="8">
        <f>1500+59.8</f>
        <v>1559.8</v>
      </c>
      <c r="E99" s="9">
        <v>1559.8</v>
      </c>
      <c r="F99" s="8">
        <f>1600-59.8+130.8</f>
        <v>1671</v>
      </c>
      <c r="G99" s="9">
        <v>1671</v>
      </c>
      <c r="H99" s="8">
        <f>1624.79-130.8</f>
        <v>1493.99</v>
      </c>
      <c r="I99" s="1">
        <v>1493.4</v>
      </c>
      <c r="J99" s="5">
        <f t="shared" si="20"/>
        <v>4724.79</v>
      </c>
      <c r="K99" s="6">
        <f t="shared" si="20"/>
        <v>4724.200000000001</v>
      </c>
      <c r="L99" s="37">
        <f t="shared" si="25"/>
        <v>0.589999999999236</v>
      </c>
      <c r="M99" s="1">
        <f>1676+160</f>
        <v>1836</v>
      </c>
      <c r="N99" s="1">
        <v>1836</v>
      </c>
      <c r="O99" s="1">
        <v>1676</v>
      </c>
      <c r="P99" s="1">
        <v>143.6</v>
      </c>
      <c r="Q99" s="1">
        <f>O99+P99-160</f>
        <v>1659.6</v>
      </c>
      <c r="R99" s="1">
        <v>1614</v>
      </c>
      <c r="S99" s="9">
        <v>1700.96</v>
      </c>
      <c r="T99" s="1">
        <v>1734</v>
      </c>
      <c r="U99" s="38">
        <f t="shared" si="24"/>
        <v>5196.5599999999995</v>
      </c>
      <c r="V99" s="1">
        <f t="shared" si="24"/>
        <v>5184</v>
      </c>
      <c r="W99" s="37">
        <f t="shared" si="22"/>
        <v>12.55999999999949</v>
      </c>
      <c r="X99" s="51">
        <f>1600+140</f>
        <v>1740</v>
      </c>
      <c r="Y99" s="50">
        <v>1740</v>
      </c>
      <c r="Z99" s="9">
        <f>1669.68-140</f>
        <v>1529.68</v>
      </c>
      <c r="AA99" s="51">
        <v>177.6</v>
      </c>
      <c r="AB99" s="9">
        <f t="shared" si="21"/>
        <v>1707.28</v>
      </c>
      <c r="AC99" s="50">
        <v>1643</v>
      </c>
      <c r="AD99" s="9">
        <v>1669.68</v>
      </c>
      <c r="AE99" s="1">
        <v>1726</v>
      </c>
      <c r="AF99" s="38">
        <f t="shared" si="13"/>
        <v>5116.96</v>
      </c>
      <c r="AG99" s="1">
        <f t="shared" si="13"/>
        <v>5109</v>
      </c>
      <c r="AH99" s="37">
        <f t="shared" si="14"/>
        <v>7.960000000000036</v>
      </c>
      <c r="AI99" s="9">
        <v>1669.68</v>
      </c>
      <c r="AJ99" s="9">
        <v>87.2</v>
      </c>
      <c r="AK99" s="9">
        <v>327.6</v>
      </c>
      <c r="AL99" s="1">
        <f t="shared" si="15"/>
        <v>2084.48</v>
      </c>
      <c r="AM99" s="58">
        <v>2074</v>
      </c>
      <c r="AN99" s="39">
        <f t="shared" si="16"/>
        <v>10.480000000000018</v>
      </c>
      <c r="AO99" s="9">
        <v>1669.68</v>
      </c>
      <c r="AP99" s="8">
        <v>44.8</v>
      </c>
      <c r="AQ99" s="8">
        <v>205.12</v>
      </c>
      <c r="AR99" s="3">
        <f t="shared" si="17"/>
        <v>1919.6</v>
      </c>
      <c r="AS99" s="10"/>
      <c r="AT99" s="9">
        <f t="shared" si="18"/>
        <v>1919.6</v>
      </c>
      <c r="AU99" s="9">
        <v>1669.68</v>
      </c>
      <c r="AV99" s="9">
        <v>30</v>
      </c>
      <c r="AW99" s="41"/>
      <c r="AX99" s="3">
        <f t="shared" si="19"/>
        <v>1699.68</v>
      </c>
    </row>
    <row r="100" spans="1:50" ht="11.25">
      <c r="A100" s="16">
        <v>95</v>
      </c>
      <c r="B100" s="23" t="s">
        <v>103</v>
      </c>
      <c r="C100" s="23" t="s">
        <v>21</v>
      </c>
      <c r="D100" s="8">
        <f>2250+4.6</f>
        <v>2254.6</v>
      </c>
      <c r="E100" s="9">
        <v>2254.6</v>
      </c>
      <c r="F100" s="8">
        <f>2400-4.6</f>
        <v>2395.4</v>
      </c>
      <c r="G100" s="9">
        <v>2393.8</v>
      </c>
      <c r="H100" s="8">
        <v>2437.19</v>
      </c>
      <c r="I100" s="1">
        <v>2410.2</v>
      </c>
      <c r="J100" s="5">
        <f t="shared" si="20"/>
        <v>7087.1900000000005</v>
      </c>
      <c r="K100" s="6">
        <f t="shared" si="20"/>
        <v>7058.599999999999</v>
      </c>
      <c r="L100" s="37">
        <f t="shared" si="25"/>
        <v>28.590000000001055</v>
      </c>
      <c r="M100" s="1">
        <v>2514</v>
      </c>
      <c r="N100" s="1">
        <v>2502.8</v>
      </c>
      <c r="O100" s="1">
        <v>2514</v>
      </c>
      <c r="P100" s="1">
        <v>215.4</v>
      </c>
      <c r="Q100" s="1">
        <f t="shared" si="23"/>
        <v>2729.4</v>
      </c>
      <c r="R100" s="1">
        <v>2717.4</v>
      </c>
      <c r="S100" s="47">
        <v>2551.44</v>
      </c>
      <c r="T100" s="1">
        <v>2554.8</v>
      </c>
      <c r="U100" s="38">
        <f t="shared" si="24"/>
        <v>7794.84</v>
      </c>
      <c r="V100" s="1">
        <f t="shared" si="24"/>
        <v>7775.000000000001</v>
      </c>
      <c r="W100" s="37">
        <f t="shared" si="22"/>
        <v>19.839999999999236</v>
      </c>
      <c r="X100" s="51">
        <v>2400</v>
      </c>
      <c r="Y100" s="50">
        <v>2372.4</v>
      </c>
      <c r="Z100" s="9">
        <v>2504.52</v>
      </c>
      <c r="AA100" s="51">
        <v>266.4</v>
      </c>
      <c r="AB100" s="9">
        <f t="shared" si="21"/>
        <v>2770.92</v>
      </c>
      <c r="AC100" s="50">
        <v>2735.8</v>
      </c>
      <c r="AD100" s="9">
        <v>2504.52</v>
      </c>
      <c r="AE100" s="1">
        <v>2561.4</v>
      </c>
      <c r="AF100" s="38">
        <f t="shared" si="13"/>
        <v>7675.4400000000005</v>
      </c>
      <c r="AG100" s="1">
        <f t="shared" si="13"/>
        <v>7669.6</v>
      </c>
      <c r="AH100" s="37">
        <f t="shared" si="14"/>
        <v>5.8400000000001455</v>
      </c>
      <c r="AI100" s="9">
        <v>2504.52</v>
      </c>
      <c r="AJ100" s="9">
        <v>130.8</v>
      </c>
      <c r="AK100" s="9">
        <v>491.4</v>
      </c>
      <c r="AL100" s="1">
        <f t="shared" si="15"/>
        <v>3126.7200000000003</v>
      </c>
      <c r="AM100" s="58">
        <v>3102.4</v>
      </c>
      <c r="AN100" s="39">
        <f t="shared" si="16"/>
        <v>24.320000000000164</v>
      </c>
      <c r="AO100" s="9">
        <v>2504.52</v>
      </c>
      <c r="AP100" s="8">
        <v>67.2</v>
      </c>
      <c r="AQ100" s="8">
        <v>307.68</v>
      </c>
      <c r="AR100" s="3">
        <f t="shared" si="17"/>
        <v>2879.3999999999996</v>
      </c>
      <c r="AS100" s="10"/>
      <c r="AT100" s="9">
        <f t="shared" si="18"/>
        <v>2879.3999999999996</v>
      </c>
      <c r="AU100" s="9">
        <v>2504.52</v>
      </c>
      <c r="AV100" s="9">
        <v>45</v>
      </c>
      <c r="AW100" s="41"/>
      <c r="AX100" s="3">
        <f t="shared" si="19"/>
        <v>2549.52</v>
      </c>
    </row>
    <row r="101" spans="1:50" ht="11.25">
      <c r="A101" s="18">
        <v>96</v>
      </c>
      <c r="B101" s="24" t="s">
        <v>70</v>
      </c>
      <c r="C101" s="24" t="s">
        <v>20</v>
      </c>
      <c r="D101" s="8">
        <f>1875+165</f>
        <v>2040</v>
      </c>
      <c r="E101" s="9">
        <v>2040</v>
      </c>
      <c r="F101" s="8">
        <f>2000-165+171</f>
        <v>2006</v>
      </c>
      <c r="G101" s="9">
        <v>2006</v>
      </c>
      <c r="H101" s="8">
        <f>2030.98-171</f>
        <v>1859.98</v>
      </c>
      <c r="I101" s="1">
        <v>1833.8</v>
      </c>
      <c r="J101" s="5">
        <f t="shared" si="20"/>
        <v>5905.98</v>
      </c>
      <c r="K101" s="6">
        <f t="shared" si="20"/>
        <v>5879.8</v>
      </c>
      <c r="L101" s="37">
        <f t="shared" si="25"/>
        <v>26.17999999999938</v>
      </c>
      <c r="M101" s="1">
        <v>2095</v>
      </c>
      <c r="N101" s="1">
        <v>1692</v>
      </c>
      <c r="O101" s="1">
        <v>2095</v>
      </c>
      <c r="P101" s="1">
        <v>179.5</v>
      </c>
      <c r="Q101" s="1">
        <f t="shared" si="23"/>
        <v>2274.5</v>
      </c>
      <c r="R101" s="1">
        <v>2113.6</v>
      </c>
      <c r="S101" s="9">
        <v>2126.2</v>
      </c>
      <c r="T101" s="1">
        <v>2676.2</v>
      </c>
      <c r="U101" s="38">
        <f t="shared" si="24"/>
        <v>6495.7</v>
      </c>
      <c r="V101" s="1">
        <f t="shared" si="24"/>
        <v>6481.799999999999</v>
      </c>
      <c r="W101" s="37">
        <f t="shared" si="22"/>
        <v>13.900000000000546</v>
      </c>
      <c r="X101" s="51">
        <v>2000</v>
      </c>
      <c r="Y101" s="50">
        <v>0</v>
      </c>
      <c r="Z101" s="9">
        <v>2087.1</v>
      </c>
      <c r="AA101" s="51">
        <v>222.9</v>
      </c>
      <c r="AB101" s="9">
        <f t="shared" si="21"/>
        <v>2310</v>
      </c>
      <c r="AC101" s="50">
        <v>2242.4</v>
      </c>
      <c r="AD101" s="9">
        <v>2087.1</v>
      </c>
      <c r="AE101" s="1">
        <v>4136.6</v>
      </c>
      <c r="AF101" s="38">
        <f t="shared" si="13"/>
        <v>6397.1</v>
      </c>
      <c r="AG101" s="1">
        <f t="shared" si="13"/>
        <v>6379</v>
      </c>
      <c r="AH101" s="37">
        <f t="shared" si="14"/>
        <v>18.100000000000364</v>
      </c>
      <c r="AI101" s="9">
        <v>2087.1</v>
      </c>
      <c r="AJ101" s="9">
        <v>109</v>
      </c>
      <c r="AK101" s="9">
        <v>409.5</v>
      </c>
      <c r="AL101" s="1">
        <f t="shared" si="15"/>
        <v>2605.6</v>
      </c>
      <c r="AM101" s="58">
        <v>2577.2</v>
      </c>
      <c r="AN101" s="39">
        <f t="shared" si="16"/>
        <v>28.40000000000009</v>
      </c>
      <c r="AO101" s="9">
        <v>2087.1</v>
      </c>
      <c r="AP101" s="8">
        <v>56</v>
      </c>
      <c r="AQ101" s="8">
        <v>256.4</v>
      </c>
      <c r="AR101" s="3">
        <f t="shared" si="17"/>
        <v>2399.5</v>
      </c>
      <c r="AS101" s="10"/>
      <c r="AT101" s="9">
        <f t="shared" si="18"/>
        <v>2399.5</v>
      </c>
      <c r="AU101" s="9">
        <v>2087.1</v>
      </c>
      <c r="AV101" s="9">
        <v>37.5</v>
      </c>
      <c r="AW101" s="41"/>
      <c r="AX101" s="3">
        <f t="shared" si="19"/>
        <v>2124.6</v>
      </c>
    </row>
    <row r="102" spans="1:50" ht="11.25">
      <c r="A102" s="16">
        <v>97</v>
      </c>
      <c r="B102" s="19" t="s">
        <v>11</v>
      </c>
      <c r="C102" s="19" t="s">
        <v>20</v>
      </c>
      <c r="D102" s="8">
        <v>1875</v>
      </c>
      <c r="E102" s="9">
        <v>1818.4</v>
      </c>
      <c r="F102" s="8">
        <f>2000+12.6</f>
        <v>2012.6</v>
      </c>
      <c r="G102" s="9">
        <v>2012.6</v>
      </c>
      <c r="H102" s="8">
        <f>2030.98-12.6</f>
        <v>2018.38</v>
      </c>
      <c r="I102" s="1">
        <v>2069.8</v>
      </c>
      <c r="J102" s="5">
        <f t="shared" si="20"/>
        <v>5905.98</v>
      </c>
      <c r="K102" s="6">
        <f t="shared" si="20"/>
        <v>5900.8</v>
      </c>
      <c r="L102" s="37">
        <f t="shared" si="25"/>
        <v>5.1799999999993815</v>
      </c>
      <c r="M102" s="1">
        <v>2095</v>
      </c>
      <c r="N102" s="1">
        <v>2063.2</v>
      </c>
      <c r="O102" s="1">
        <v>2095</v>
      </c>
      <c r="P102" s="1">
        <v>179.5</v>
      </c>
      <c r="Q102" s="1">
        <f t="shared" si="23"/>
        <v>2274.5</v>
      </c>
      <c r="R102" s="1">
        <v>1795.8</v>
      </c>
      <c r="S102" s="47">
        <v>2126.2</v>
      </c>
      <c r="T102" s="1">
        <v>2465.6</v>
      </c>
      <c r="U102" s="38">
        <f t="shared" si="24"/>
        <v>6495.7</v>
      </c>
      <c r="V102" s="1">
        <f t="shared" si="24"/>
        <v>6324.6</v>
      </c>
      <c r="W102" s="7">
        <f t="shared" si="22"/>
        <v>171.09999999999945</v>
      </c>
      <c r="X102" s="51">
        <f>2000+1.6</f>
        <v>2001.6</v>
      </c>
      <c r="Y102" s="50">
        <v>2001.6</v>
      </c>
      <c r="Z102" s="9">
        <f>2087.1-1.6</f>
        <v>2085.5</v>
      </c>
      <c r="AA102" s="51"/>
      <c r="AB102" s="9">
        <f t="shared" si="21"/>
        <v>2085.5</v>
      </c>
      <c r="AC102" s="50">
        <v>2052.6</v>
      </c>
      <c r="AD102" s="9">
        <v>2087.1</v>
      </c>
      <c r="AE102" s="1">
        <v>1965</v>
      </c>
      <c r="AF102" s="38">
        <f t="shared" si="13"/>
        <v>6174.2</v>
      </c>
      <c r="AG102" s="1">
        <f t="shared" si="13"/>
        <v>6019.2</v>
      </c>
      <c r="AH102" s="7">
        <f t="shared" si="14"/>
        <v>155</v>
      </c>
      <c r="AI102" s="9">
        <v>2087.1</v>
      </c>
      <c r="AJ102" s="9">
        <v>109</v>
      </c>
      <c r="AK102" s="9"/>
      <c r="AL102" s="1">
        <f t="shared" si="15"/>
        <v>2196.1</v>
      </c>
      <c r="AM102" s="58">
        <v>2097.8</v>
      </c>
      <c r="AN102" s="9">
        <f t="shared" si="16"/>
        <v>98.29999999999973</v>
      </c>
      <c r="AO102" s="9">
        <v>2087.1</v>
      </c>
      <c r="AP102" s="8">
        <v>56</v>
      </c>
      <c r="AQ102" s="8"/>
      <c r="AR102" s="3">
        <f t="shared" si="17"/>
        <v>2143.1</v>
      </c>
      <c r="AS102" s="10"/>
      <c r="AT102" s="9">
        <f t="shared" si="18"/>
        <v>2143.1</v>
      </c>
      <c r="AU102" s="9">
        <v>2087.1</v>
      </c>
      <c r="AV102" s="9">
        <v>37.5</v>
      </c>
      <c r="AW102" s="41"/>
      <c r="AX102" s="3">
        <f t="shared" si="19"/>
        <v>2124.6</v>
      </c>
    </row>
    <row r="103" spans="1:50" ht="11.25">
      <c r="A103" s="18">
        <v>98</v>
      </c>
      <c r="B103" s="19" t="s">
        <v>12</v>
      </c>
      <c r="C103" s="19" t="s">
        <v>20</v>
      </c>
      <c r="D103" s="8">
        <f>1875+115.4</f>
        <v>1990.4</v>
      </c>
      <c r="E103" s="9">
        <v>1990.4</v>
      </c>
      <c r="F103" s="8">
        <f>2000-115.4+187.2</f>
        <v>2071.7999999999997</v>
      </c>
      <c r="G103" s="9">
        <v>2071.8</v>
      </c>
      <c r="H103" s="8">
        <f>2030.98-187.2</f>
        <v>1843.78</v>
      </c>
      <c r="I103" s="1">
        <v>1837.4</v>
      </c>
      <c r="J103" s="5">
        <f t="shared" si="20"/>
        <v>5905.98</v>
      </c>
      <c r="K103" s="6">
        <f t="shared" si="20"/>
        <v>5899.6</v>
      </c>
      <c r="L103" s="37">
        <f t="shared" si="25"/>
        <v>6.3799999999992</v>
      </c>
      <c r="M103" s="1">
        <v>2095</v>
      </c>
      <c r="N103" s="1">
        <v>2055.2</v>
      </c>
      <c r="O103" s="1">
        <v>2095</v>
      </c>
      <c r="P103" s="1">
        <v>179.5</v>
      </c>
      <c r="Q103" s="1">
        <f t="shared" si="23"/>
        <v>2274.5</v>
      </c>
      <c r="R103" s="1">
        <v>2060.2</v>
      </c>
      <c r="S103" s="9">
        <v>2126.2</v>
      </c>
      <c r="T103" s="1">
        <v>2365.6</v>
      </c>
      <c r="U103" s="38">
        <f t="shared" si="24"/>
        <v>6495.7</v>
      </c>
      <c r="V103" s="1">
        <f t="shared" si="24"/>
        <v>6481</v>
      </c>
      <c r="W103" s="37">
        <f t="shared" si="22"/>
        <v>14.699999999999818</v>
      </c>
      <c r="X103" s="51">
        <f>2000+0.8</f>
        <v>2000.8</v>
      </c>
      <c r="Y103" s="50">
        <v>2000.8</v>
      </c>
      <c r="Z103" s="9">
        <f>2087.1-0.8</f>
        <v>2086.2999999999997</v>
      </c>
      <c r="AA103" s="51">
        <v>222.9</v>
      </c>
      <c r="AB103" s="9">
        <f t="shared" si="21"/>
        <v>2309.2</v>
      </c>
      <c r="AC103" s="50">
        <v>1993</v>
      </c>
      <c r="AD103" s="9">
        <v>2087.1</v>
      </c>
      <c r="AE103" s="1">
        <v>1776</v>
      </c>
      <c r="AF103" s="38">
        <f t="shared" si="13"/>
        <v>6397.1</v>
      </c>
      <c r="AG103" s="1">
        <f t="shared" si="13"/>
        <v>5769.8</v>
      </c>
      <c r="AH103" s="7">
        <f t="shared" si="14"/>
        <v>627.3000000000002</v>
      </c>
      <c r="AI103" s="9">
        <v>2087.1</v>
      </c>
      <c r="AJ103" s="9">
        <v>109</v>
      </c>
      <c r="AK103" s="9"/>
      <c r="AL103" s="1">
        <f t="shared" si="15"/>
        <v>2196.1</v>
      </c>
      <c r="AM103" s="58">
        <v>2186.2</v>
      </c>
      <c r="AN103" s="39">
        <f t="shared" si="16"/>
        <v>9.900000000000091</v>
      </c>
      <c r="AO103" s="9">
        <v>2087.1</v>
      </c>
      <c r="AP103" s="8">
        <v>56</v>
      </c>
      <c r="AQ103" s="8">
        <v>256.4</v>
      </c>
      <c r="AR103" s="3">
        <f t="shared" si="17"/>
        <v>2399.5</v>
      </c>
      <c r="AS103" s="10"/>
      <c r="AT103" s="9">
        <f t="shared" si="18"/>
        <v>2399.5</v>
      </c>
      <c r="AU103" s="9">
        <v>2087.1</v>
      </c>
      <c r="AV103" s="9">
        <v>37.5</v>
      </c>
      <c r="AW103" s="41"/>
      <c r="AX103" s="3">
        <f t="shared" si="19"/>
        <v>2124.6</v>
      </c>
    </row>
    <row r="104" spans="1:50" ht="11.25">
      <c r="A104" s="16">
        <v>99</v>
      </c>
      <c r="B104" s="24" t="s">
        <v>71</v>
      </c>
      <c r="C104" s="24" t="s">
        <v>21</v>
      </c>
      <c r="D104" s="8">
        <v>1500</v>
      </c>
      <c r="E104" s="9">
        <v>1494</v>
      </c>
      <c r="F104" s="8">
        <v>1600</v>
      </c>
      <c r="G104" s="9">
        <v>1502</v>
      </c>
      <c r="H104" s="8">
        <v>1624.79</v>
      </c>
      <c r="I104" s="1">
        <v>1711</v>
      </c>
      <c r="J104" s="5">
        <f t="shared" si="20"/>
        <v>4724.79</v>
      </c>
      <c r="K104" s="6">
        <f t="shared" si="20"/>
        <v>4707</v>
      </c>
      <c r="L104" s="37">
        <f t="shared" si="25"/>
        <v>17.789999999999964</v>
      </c>
      <c r="M104" s="1">
        <v>1676</v>
      </c>
      <c r="N104" s="1">
        <v>1624</v>
      </c>
      <c r="O104" s="1">
        <v>1676</v>
      </c>
      <c r="P104" s="43">
        <v>143.6</v>
      </c>
      <c r="Q104" s="1">
        <f t="shared" si="23"/>
        <v>1819.6</v>
      </c>
      <c r="R104" s="43">
        <v>1633</v>
      </c>
      <c r="S104" s="47">
        <v>1700.96</v>
      </c>
      <c r="T104" s="1">
        <v>1865</v>
      </c>
      <c r="U104" s="38">
        <f t="shared" si="24"/>
        <v>5196.5599999999995</v>
      </c>
      <c r="V104" s="1">
        <f t="shared" si="24"/>
        <v>5122</v>
      </c>
      <c r="W104" s="37">
        <f t="shared" si="22"/>
        <v>74.55999999999949</v>
      </c>
      <c r="X104" s="52">
        <v>1600</v>
      </c>
      <c r="Y104" s="53">
        <v>1587</v>
      </c>
      <c r="Z104" s="9">
        <v>1669.68</v>
      </c>
      <c r="AA104" s="54">
        <v>177.6</v>
      </c>
      <c r="AB104" s="9">
        <f t="shared" si="21"/>
        <v>1847.28</v>
      </c>
      <c r="AC104" s="53">
        <v>1796</v>
      </c>
      <c r="AD104" s="9">
        <v>1669.68</v>
      </c>
      <c r="AE104" s="1">
        <v>1647</v>
      </c>
      <c r="AF104" s="38">
        <f t="shared" si="13"/>
        <v>5116.96</v>
      </c>
      <c r="AG104" s="1">
        <f t="shared" si="13"/>
        <v>5030</v>
      </c>
      <c r="AH104" s="7">
        <f t="shared" si="14"/>
        <v>86.96000000000004</v>
      </c>
      <c r="AI104" s="9">
        <v>1669.68</v>
      </c>
      <c r="AJ104" s="57">
        <v>87.2</v>
      </c>
      <c r="AK104" s="57"/>
      <c r="AL104" s="1">
        <f t="shared" si="15"/>
        <v>1756.88</v>
      </c>
      <c r="AM104" s="59">
        <v>1716</v>
      </c>
      <c r="AN104" s="9">
        <f t="shared" si="16"/>
        <v>40.88000000000011</v>
      </c>
      <c r="AO104" s="9">
        <v>1669.68</v>
      </c>
      <c r="AP104" s="8">
        <v>44.8</v>
      </c>
      <c r="AQ104" s="46"/>
      <c r="AR104" s="3">
        <f t="shared" si="17"/>
        <v>1714.48</v>
      </c>
      <c r="AS104" s="28"/>
      <c r="AT104" s="9">
        <f t="shared" si="18"/>
        <v>1714.48</v>
      </c>
      <c r="AU104" s="9">
        <v>1669.68</v>
      </c>
      <c r="AV104" s="57">
        <v>30</v>
      </c>
      <c r="AW104" s="42"/>
      <c r="AX104" s="3">
        <f t="shared" si="19"/>
        <v>1699.68</v>
      </c>
    </row>
    <row r="107" ht="11.25">
      <c r="AX107" s="14" t="s">
        <v>152</v>
      </c>
    </row>
    <row r="108" ht="11.25">
      <c r="AX108" s="14" t="s">
        <v>153</v>
      </c>
    </row>
  </sheetData>
  <sheetProtection/>
  <mergeCells count="5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W4:AW5"/>
    <mergeCell ref="AV4:AV5"/>
    <mergeCell ref="AX4:AX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popescue</cp:lastModifiedBy>
  <cp:lastPrinted>2021-10-12T11:35:41Z</cp:lastPrinted>
  <dcterms:created xsi:type="dcterms:W3CDTF">1996-10-14T23:33:28Z</dcterms:created>
  <dcterms:modified xsi:type="dcterms:W3CDTF">2021-12-06T12:41:44Z</dcterms:modified>
  <cp:category/>
  <cp:version/>
  <cp:contentType/>
  <cp:contentStatus/>
</cp:coreProperties>
</file>